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schnell\Pictures\A exporter P\"/>
    </mc:Choice>
  </mc:AlternateContent>
  <bookViews>
    <workbookView xWindow="0" yWindow="0" windowWidth="23016" windowHeight="8880" tabRatio="884"/>
  </bookViews>
  <sheets>
    <sheet name="Recap financement" sheetId="7" r:id="rId1"/>
    <sheet name="Plan d'amortissement" sheetId="11" r:id="rId2"/>
    <sheet name="Aurélie SCHNELL" sheetId="2" r:id="rId3"/>
    <sheet name="Marc-Olivier MOULET" sheetId="1" r:id="rId4"/>
    <sheet name="Cession des titres" sheetId="10" r:id="rId5"/>
    <sheet name="Imposition" sheetId="9" r:id="rId6"/>
    <sheet name="Coût frais de succession vs emp" sheetId="4" r:id="rId7"/>
    <sheet name="Revenu locatif" sheetId="6" r:id="rId8"/>
    <sheet name="Cumul couple" sheetId="5" r:id="rId9"/>
    <sheet name="Flux de trésorerie" sheetId="12" state="hidden" r:id="rId10"/>
  </sheets>
  <definedNames>
    <definedName name="Date_Début">'Flux de trésorerie'!$C$3</definedName>
    <definedName name="Date_Paie">'Plan d''amortissement'!$B$18:$B$497</definedName>
    <definedName name="Date_Paiement">DATE(YEAR(Début_Prêt),MONTH(Début_Prêt)+Payment_Number,DAY(Début_Prêt))</definedName>
    <definedName name="Début_Prêt">'Plan d''amortissement'!$D$9</definedName>
    <definedName name="Début_trésorerie">'Flux de trésorerie'!$C$7</definedName>
    <definedName name="Dernière_Ligne">IF(Valeurs_Entrées,Ligne_EnTête+Nbre_de_Paiements,Ligne_EnTête)</definedName>
    <definedName name="Données">'Plan d''amortissement'!$A$18:$J$497</definedName>
    <definedName name="Durée_Prêt">'Plan d''amortissement'!$D$7</definedName>
    <definedName name="Ent">'Plan d''amortissement'!$H$18:$H$497</definedName>
    <definedName name="_xlnm.Print_Titles" localSheetId="9">'Flux de trésorerie'!$6:$6</definedName>
    <definedName name="_xlnm.Print_Titles" localSheetId="1">'Plan d''amortissement'!$14:$17</definedName>
    <definedName name="Impression_Entière">'Plan d''amortissement'!$A$1:$J$497</definedName>
    <definedName name="Intérêt_Total">'Plan d''amortissement'!$J$9</definedName>
    <definedName name="Intérêts_Cumulés">'Plan d''amortissement'!$J$18:$J$497</definedName>
    <definedName name="Ligne_EnTête">ROW('Plan d''amortissement'!$17:$17)</definedName>
    <definedName name="Minimum_trésorerie">'Flux de trésorerie'!$C$4</definedName>
    <definedName name="Montant_Prêt">'Plan d''amortissement'!$D$5</definedName>
    <definedName name="Nbre_de_Paiements">MATCH(0.01,Solde_Final,-1)+1</definedName>
    <definedName name="Nbre_Pmt">'Plan d''amortissement'!$A$18:$A$497</definedName>
    <definedName name="Nbre_Pmt_Par_An">'Plan d''amortissement'!$D$8</definedName>
    <definedName name="Nom_Entreprise">'Flux de trésorerie'!$B$2</definedName>
    <definedName name="Pmt_Mensuel_Programmé">'Plan d''amortissement'!$J$5</definedName>
    <definedName name="Pmt_Programmé">'Plan d''amortissement'!$D$18:$D$497</definedName>
    <definedName name="Pmt_Supplémentaire">'Plan d''amortissement'!$E$18:$E$497</definedName>
    <definedName name="Pmt_Total">'Plan d''amortissement'!$F$18:$F$497</definedName>
    <definedName name="Pmts_Supplémentaires_Programmés">'Plan d''amortissement'!$D$10</definedName>
    <definedName name="Princ">'Plan d''amortissement'!$G$18:$G$497</definedName>
    <definedName name="Réinit_Zone_Impression">OFFSET(Impression_Entière,0,0,Dernière_Ligne)</definedName>
    <definedName name="Solde_Départ">'Plan d''amortissement'!$C$18:$C$497</definedName>
    <definedName name="Solde_Final">'Plan d''amortissement'!$I$18:$I$497</definedName>
    <definedName name="Taux_Intérêt">'Plan d''amortissement'!$D$6</definedName>
    <definedName name="Taux_Intérêt_Programmé">'Plan d''amortissement'!$D$6</definedName>
    <definedName name="Valeurs_Entrées">IF(Montant_Prêt*Taux_Intérêt*Durée_Prêt*Début_Prêt&gt;0,1,0)</definedName>
    <definedName name="_xlnm.Print_Area" localSheetId="1">OFFSET(Impression_Entière,0,0,Dernière_Ligne)</definedName>
  </definedName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3" i="12" l="1"/>
  <c r="P62" i="12"/>
  <c r="P61" i="12"/>
  <c r="P60" i="12"/>
  <c r="P59" i="12"/>
  <c r="P58" i="12"/>
  <c r="M54" i="12"/>
  <c r="L54" i="12"/>
  <c r="I54" i="12"/>
  <c r="H54" i="12"/>
  <c r="E54" i="12"/>
  <c r="D54" i="12"/>
  <c r="P54" i="12" s="1"/>
  <c r="P53" i="12"/>
  <c r="P52" i="12"/>
  <c r="P51" i="12"/>
  <c r="P50" i="12"/>
  <c r="P49" i="12"/>
  <c r="O47" i="12"/>
  <c r="O54" i="12" s="1"/>
  <c r="N47" i="12"/>
  <c r="N54" i="12" s="1"/>
  <c r="M47" i="12"/>
  <c r="L47" i="12"/>
  <c r="K47" i="12"/>
  <c r="K54" i="12" s="1"/>
  <c r="J47" i="12"/>
  <c r="J54" i="12" s="1"/>
  <c r="I47" i="12"/>
  <c r="H47" i="12"/>
  <c r="G47" i="12"/>
  <c r="G54" i="12" s="1"/>
  <c r="F47" i="12"/>
  <c r="F54" i="12" s="1"/>
  <c r="E47" i="12"/>
  <c r="D47" i="12"/>
  <c r="P46" i="12"/>
  <c r="P45" i="12"/>
  <c r="P44" i="12"/>
  <c r="P43" i="12"/>
  <c r="P42" i="12"/>
  <c r="P41" i="12"/>
  <c r="P40" i="12"/>
  <c r="P39" i="12"/>
  <c r="P38" i="12"/>
  <c r="P37" i="12"/>
  <c r="P36" i="12"/>
  <c r="P35" i="12"/>
  <c r="P34" i="12"/>
  <c r="P33" i="12"/>
  <c r="P32" i="12"/>
  <c r="P31" i="12"/>
  <c r="P30" i="12"/>
  <c r="P29" i="12"/>
  <c r="P28" i="12"/>
  <c r="P27" i="12"/>
  <c r="P26" i="12"/>
  <c r="P25" i="12"/>
  <c r="P24" i="12"/>
  <c r="P23" i="12"/>
  <c r="P22" i="12"/>
  <c r="P47" i="12" s="1"/>
  <c r="C19" i="12"/>
  <c r="C55" i="12" s="1"/>
  <c r="D7" i="12" s="1"/>
  <c r="D19" i="12" s="1"/>
  <c r="D55" i="12" s="1"/>
  <c r="E7" i="12" s="1"/>
  <c r="E19" i="12" s="1"/>
  <c r="E55" i="12" s="1"/>
  <c r="F7" i="12" s="1"/>
  <c r="F19" i="12" s="1"/>
  <c r="F55" i="12" s="1"/>
  <c r="G7" i="12" s="1"/>
  <c r="G19" i="12" s="1"/>
  <c r="G55" i="12" s="1"/>
  <c r="H7" i="12" s="1"/>
  <c r="H19" i="12" s="1"/>
  <c r="H55" i="12" s="1"/>
  <c r="I7" i="12" s="1"/>
  <c r="I19" i="12" s="1"/>
  <c r="I55" i="12" s="1"/>
  <c r="J7" i="12" s="1"/>
  <c r="J19" i="12" s="1"/>
  <c r="J55" i="12" s="1"/>
  <c r="K7" i="12" s="1"/>
  <c r="K19" i="12" s="1"/>
  <c r="K55" i="12" s="1"/>
  <c r="L7" i="12" s="1"/>
  <c r="L19" i="12" s="1"/>
  <c r="L55" i="12" s="1"/>
  <c r="M7" i="12" s="1"/>
  <c r="M19" i="12" s="1"/>
  <c r="M55" i="12" s="1"/>
  <c r="N7" i="12" s="1"/>
  <c r="N19" i="12" s="1"/>
  <c r="N55" i="12" s="1"/>
  <c r="O7" i="12" s="1"/>
  <c r="O19" i="12" s="1"/>
  <c r="O55" i="12" s="1"/>
  <c r="O18" i="12"/>
  <c r="N18" i="12"/>
  <c r="M18" i="12"/>
  <c r="L18" i="12"/>
  <c r="K18" i="12"/>
  <c r="J18" i="12"/>
  <c r="I18" i="12"/>
  <c r="H18" i="12"/>
  <c r="G18" i="12"/>
  <c r="F18" i="12"/>
  <c r="E18" i="12"/>
  <c r="D18" i="12"/>
  <c r="P17" i="12"/>
  <c r="P16" i="12"/>
  <c r="P15" i="12"/>
  <c r="P14" i="12"/>
  <c r="P13" i="12"/>
  <c r="P12" i="12"/>
  <c r="P18" i="12" s="1"/>
  <c r="O4" i="12"/>
  <c r="N4" i="12"/>
  <c r="M4" i="12"/>
  <c r="L4" i="12"/>
  <c r="K4" i="12"/>
  <c r="J4" i="12"/>
  <c r="I4" i="12"/>
  <c r="H4" i="12"/>
  <c r="G4" i="12"/>
  <c r="F4" i="12"/>
  <c r="E4" i="12"/>
  <c r="D4" i="12"/>
  <c r="C3" i="12"/>
  <c r="D5" i="1" l="1"/>
  <c r="G7" i="4"/>
  <c r="H33" i="9"/>
  <c r="M17" i="9"/>
  <c r="C18" i="11"/>
  <c r="A18" i="11"/>
  <c r="J6" i="11"/>
  <c r="J5" i="11"/>
  <c r="D11" i="7"/>
  <c r="C11" i="7"/>
  <c r="C13" i="7" s="1"/>
  <c r="C15" i="7" s="1"/>
  <c r="D13" i="7"/>
  <c r="D15" i="7" s="1"/>
  <c r="D8" i="7"/>
  <c r="F11" i="7"/>
  <c r="F13" i="7" s="1"/>
  <c r="E11" i="7"/>
  <c r="F8" i="7"/>
  <c r="B11" i="7"/>
  <c r="B13" i="7" s="1"/>
  <c r="K11" i="10"/>
  <c r="J11" i="10"/>
  <c r="I11" i="10"/>
  <c r="H11" i="10"/>
  <c r="G11" i="10"/>
  <c r="J10" i="10"/>
  <c r="J9" i="10"/>
  <c r="I10" i="10"/>
  <c r="I9" i="10"/>
  <c r="I8" i="10"/>
  <c r="J8" i="10"/>
  <c r="K6" i="10"/>
  <c r="K7" i="10"/>
  <c r="K8" i="10"/>
  <c r="K9" i="10"/>
  <c r="K10" i="10"/>
  <c r="K5" i="10"/>
  <c r="G10" i="10"/>
  <c r="D10" i="10"/>
  <c r="G9" i="10"/>
  <c r="D9" i="10"/>
  <c r="G8" i="10"/>
  <c r="K25" i="5"/>
  <c r="L27" i="5"/>
  <c r="L28" i="5"/>
  <c r="K27" i="5"/>
  <c r="J13" i="5"/>
  <c r="H13" i="5"/>
  <c r="D16" i="5"/>
  <c r="H8" i="10"/>
  <c r="G7" i="10"/>
  <c r="G6" i="10"/>
  <c r="G5" i="10"/>
  <c r="D6" i="10"/>
  <c r="D7" i="10"/>
  <c r="D5" i="10"/>
  <c r="C8" i="7"/>
  <c r="E8" i="7"/>
  <c r="E13" i="7"/>
  <c r="B8" i="7"/>
  <c r="N10" i="4"/>
  <c r="N9" i="4"/>
  <c r="N8" i="4"/>
  <c r="N7" i="4"/>
  <c r="N6" i="4"/>
  <c r="N5" i="4"/>
  <c r="N4" i="4"/>
  <c r="H35" i="9"/>
  <c r="J29" i="9"/>
  <c r="H24" i="9"/>
  <c r="F18" i="9"/>
  <c r="M12" i="9"/>
  <c r="O12" i="9" s="1"/>
  <c r="O15" i="9" s="1"/>
  <c r="H12" i="9"/>
  <c r="F6" i="9"/>
  <c r="F4" i="9"/>
  <c r="F5" i="9"/>
  <c r="F3" i="9"/>
  <c r="E5" i="9"/>
  <c r="E3" i="9"/>
  <c r="J27" i="9"/>
  <c r="D6" i="9"/>
  <c r="J12" i="9"/>
  <c r="J15" i="9" s="1"/>
  <c r="D3" i="9"/>
  <c r="D4" i="9"/>
  <c r="D35" i="1"/>
  <c r="D33" i="1"/>
  <c r="D30" i="1"/>
  <c r="D25" i="1"/>
  <c r="D11" i="1"/>
  <c r="J25" i="9"/>
  <c r="J24" i="9"/>
  <c r="J23" i="9"/>
  <c r="J22" i="9"/>
  <c r="O13" i="9"/>
  <c r="O11" i="9"/>
  <c r="O10" i="9"/>
  <c r="J13" i="9"/>
  <c r="J11" i="9"/>
  <c r="J10" i="9"/>
  <c r="E13" i="9"/>
  <c r="E12" i="9"/>
  <c r="E11" i="9"/>
  <c r="E10" i="9"/>
  <c r="D14" i="1" l="1"/>
  <c r="D37" i="1" s="1"/>
  <c r="H18" i="11"/>
  <c r="D18" i="11"/>
  <c r="E18" i="11" s="1"/>
  <c r="A19" i="11"/>
  <c r="B18" i="11"/>
  <c r="D17" i="7"/>
  <c r="E15" i="7"/>
  <c r="E17" i="7" s="1"/>
  <c r="F15" i="7"/>
  <c r="F17" i="7" s="1"/>
  <c r="B15" i="7"/>
  <c r="B17" i="7" s="1"/>
  <c r="C17" i="7"/>
  <c r="Q15" i="9"/>
  <c r="B19" i="11" l="1"/>
  <c r="D19" i="11"/>
  <c r="A20" i="11"/>
  <c r="F18" i="11"/>
  <c r="G18" i="11" s="1"/>
  <c r="I18" i="11" s="1"/>
  <c r="J18" i="11"/>
  <c r="C19" i="11" l="1"/>
  <c r="E19" i="11"/>
  <c r="D20" i="11"/>
  <c r="A21" i="11"/>
  <c r="B20" i="11"/>
  <c r="F19" i="11" l="1"/>
  <c r="B21" i="11"/>
  <c r="D21" i="11"/>
  <c r="A22" i="11"/>
  <c r="H19" i="11"/>
  <c r="J19" i="11" l="1"/>
  <c r="G19" i="11"/>
  <c r="I19" i="11" s="1"/>
  <c r="D22" i="11"/>
  <c r="A23" i="11"/>
  <c r="B22" i="11"/>
  <c r="C20" i="11" l="1"/>
  <c r="B23" i="11"/>
  <c r="D23" i="11"/>
  <c r="A24" i="11"/>
  <c r="D24" i="11" l="1"/>
  <c r="A25" i="11"/>
  <c r="B24" i="11"/>
  <c r="H20" i="11"/>
  <c r="E20" i="11"/>
  <c r="B25" i="11" l="1"/>
  <c r="D25" i="11"/>
  <c r="A26" i="11"/>
  <c r="F20" i="11"/>
  <c r="G20" i="11" s="1"/>
  <c r="I20" i="11" s="1"/>
  <c r="J20" i="11"/>
  <c r="C21" i="11" l="1"/>
  <c r="D26" i="11"/>
  <c r="A27" i="11"/>
  <c r="B26" i="11"/>
  <c r="B27" i="11" l="1"/>
  <c r="D27" i="11"/>
  <c r="A28" i="11"/>
  <c r="H21" i="11"/>
  <c r="E21" i="11"/>
  <c r="F21" i="11" l="1"/>
  <c r="G21" i="11" s="1"/>
  <c r="I21" i="11" s="1"/>
  <c r="D28" i="11"/>
  <c r="A29" i="11"/>
  <c r="B28" i="11"/>
  <c r="J21" i="11"/>
  <c r="C22" i="11" l="1"/>
  <c r="B29" i="11"/>
  <c r="D29" i="11"/>
  <c r="A30" i="11"/>
  <c r="D30" i="11" l="1"/>
  <c r="A31" i="11"/>
  <c r="B30" i="11"/>
  <c r="H22" i="11"/>
  <c r="E22" i="11"/>
  <c r="B31" i="11" l="1"/>
  <c r="D31" i="11"/>
  <c r="A32" i="11"/>
  <c r="F22" i="11"/>
  <c r="G22" i="11" s="1"/>
  <c r="I22" i="11" s="1"/>
  <c r="J22" i="11"/>
  <c r="C23" i="11" l="1"/>
  <c r="D32" i="11"/>
  <c r="A33" i="11"/>
  <c r="B32" i="11"/>
  <c r="B33" i="11" l="1"/>
  <c r="D33" i="11"/>
  <c r="A34" i="11"/>
  <c r="H23" i="11"/>
  <c r="J23" i="11" s="1"/>
  <c r="E23" i="11"/>
  <c r="F23" i="11" l="1"/>
  <c r="G23" i="11" s="1"/>
  <c r="I23" i="11" s="1"/>
  <c r="C24" i="11" s="1"/>
  <c r="D34" i="11"/>
  <c r="A35" i="11"/>
  <c r="B34" i="11"/>
  <c r="H24" i="11" l="1"/>
  <c r="J24" i="11" s="1"/>
  <c r="E24" i="11"/>
  <c r="B35" i="11"/>
  <c r="D35" i="11"/>
  <c r="A36" i="11"/>
  <c r="F24" i="11" l="1"/>
  <c r="G24" i="11" s="1"/>
  <c r="I24" i="11" s="1"/>
  <c r="C25" i="11" s="1"/>
  <c r="D36" i="11"/>
  <c r="A37" i="11"/>
  <c r="B36" i="11"/>
  <c r="H25" i="11" l="1"/>
  <c r="J25" i="11" s="1"/>
  <c r="E25" i="11"/>
  <c r="B37" i="11"/>
  <c r="D37" i="11"/>
  <c r="A38" i="11"/>
  <c r="F25" i="11" l="1"/>
  <c r="G25" i="11" s="1"/>
  <c r="I25" i="11" s="1"/>
  <c r="C26" i="11" s="1"/>
  <c r="D38" i="11"/>
  <c r="A39" i="11"/>
  <c r="B38" i="11"/>
  <c r="H26" i="11" l="1"/>
  <c r="J26" i="11" s="1"/>
  <c r="E26" i="11"/>
  <c r="B39" i="11"/>
  <c r="D39" i="11"/>
  <c r="A40" i="11"/>
  <c r="D40" i="11" l="1"/>
  <c r="A41" i="11"/>
  <c r="B40" i="11"/>
  <c r="F26" i="11"/>
  <c r="G26" i="11" s="1"/>
  <c r="I26" i="11" s="1"/>
  <c r="C27" i="11" s="1"/>
  <c r="H27" i="11" l="1"/>
  <c r="J27" i="11" s="1"/>
  <c r="E27" i="11"/>
  <c r="B41" i="11"/>
  <c r="D41" i="11"/>
  <c r="A42" i="11"/>
  <c r="D42" i="11" l="1"/>
  <c r="A43" i="11"/>
  <c r="B42" i="11"/>
  <c r="F27" i="11"/>
  <c r="G27" i="11" s="1"/>
  <c r="I27" i="11" s="1"/>
  <c r="C28" i="11" s="1"/>
  <c r="E28" i="11" l="1"/>
  <c r="H28" i="11"/>
  <c r="J28" i="11" s="1"/>
  <c r="B43" i="11"/>
  <c r="D43" i="11"/>
  <c r="A44" i="11"/>
  <c r="D44" i="11" l="1"/>
  <c r="A45" i="11"/>
  <c r="B44" i="11"/>
  <c r="F28" i="11"/>
  <c r="G28" i="11" s="1"/>
  <c r="I28" i="11" s="1"/>
  <c r="C29" i="11" s="1"/>
  <c r="H29" i="11" l="1"/>
  <c r="J29" i="11" s="1"/>
  <c r="E29" i="11"/>
  <c r="B45" i="11"/>
  <c r="D45" i="11"/>
  <c r="A46" i="11"/>
  <c r="F29" i="11" l="1"/>
  <c r="G29" i="11" s="1"/>
  <c r="I29" i="11" s="1"/>
  <c r="C30" i="11" s="1"/>
  <c r="D46" i="11"/>
  <c r="A47" i="11"/>
  <c r="B46" i="11"/>
  <c r="H30" i="11" l="1"/>
  <c r="J30" i="11" s="1"/>
  <c r="E30" i="11"/>
  <c r="B47" i="11"/>
  <c r="D47" i="11"/>
  <c r="A48" i="11"/>
  <c r="F30" i="11" l="1"/>
  <c r="G30" i="11" s="1"/>
  <c r="I30" i="11"/>
  <c r="C31" i="11" s="1"/>
  <c r="D48" i="11"/>
  <c r="A49" i="11"/>
  <c r="B48" i="11"/>
  <c r="B49" i="11" l="1"/>
  <c r="D49" i="11"/>
  <c r="A50" i="11"/>
  <c r="H31" i="11"/>
  <c r="J31" i="11" s="1"/>
  <c r="E31" i="11"/>
  <c r="F31" i="11" l="1"/>
  <c r="G31" i="11" s="1"/>
  <c r="I31" i="11" s="1"/>
  <c r="C32" i="11" s="1"/>
  <c r="D50" i="11"/>
  <c r="A51" i="11"/>
  <c r="B50" i="11"/>
  <c r="B51" i="11" l="1"/>
  <c r="D51" i="11"/>
  <c r="A52" i="11"/>
  <c r="H32" i="11"/>
  <c r="J32" i="11" s="1"/>
  <c r="E32" i="11"/>
  <c r="F32" i="11" l="1"/>
  <c r="G32" i="11" s="1"/>
  <c r="I32" i="11" s="1"/>
  <c r="C33" i="11" s="1"/>
  <c r="D52" i="11"/>
  <c r="A53" i="11"/>
  <c r="B52" i="11"/>
  <c r="H33" i="11" l="1"/>
  <c r="J33" i="11" s="1"/>
  <c r="E33" i="11"/>
  <c r="B53" i="11"/>
  <c r="D53" i="11"/>
  <c r="A54" i="11"/>
  <c r="F33" i="11" l="1"/>
  <c r="G33" i="11" s="1"/>
  <c r="I33" i="11" s="1"/>
  <c r="C34" i="11" s="1"/>
  <c r="D54" i="11"/>
  <c r="A55" i="11"/>
  <c r="B54" i="11"/>
  <c r="B55" i="11" l="1"/>
  <c r="D55" i="11"/>
  <c r="A56" i="11"/>
  <c r="H34" i="11"/>
  <c r="J34" i="11" s="1"/>
  <c r="E34" i="11"/>
  <c r="F34" i="11" l="1"/>
  <c r="G34" i="11" s="1"/>
  <c r="I34" i="11" s="1"/>
  <c r="C35" i="11" s="1"/>
  <c r="D56" i="11"/>
  <c r="A57" i="11"/>
  <c r="B56" i="11"/>
  <c r="H35" i="11" l="1"/>
  <c r="J35" i="11" s="1"/>
  <c r="E35" i="11"/>
  <c r="B57" i="11"/>
  <c r="A58" i="11"/>
  <c r="D57" i="11"/>
  <c r="D58" i="11" l="1"/>
  <c r="A59" i="11"/>
  <c r="B58" i="11"/>
  <c r="F35" i="11"/>
  <c r="G35" i="11" s="1"/>
  <c r="I35" i="11" s="1"/>
  <c r="C36" i="11" s="1"/>
  <c r="H36" i="11" l="1"/>
  <c r="J36" i="11" s="1"/>
  <c r="E36" i="11"/>
  <c r="B59" i="11"/>
  <c r="A60" i="11"/>
  <c r="D59" i="11"/>
  <c r="F36" i="11" l="1"/>
  <c r="G36" i="11" s="1"/>
  <c r="I36" i="11"/>
  <c r="C37" i="11" s="1"/>
  <c r="D60" i="11"/>
  <c r="A61" i="11"/>
  <c r="B60" i="11"/>
  <c r="B61" i="11" l="1"/>
  <c r="A62" i="11"/>
  <c r="D61" i="11"/>
  <c r="E37" i="11"/>
  <c r="H37" i="11"/>
  <c r="J37" i="11" s="1"/>
  <c r="F37" i="11" l="1"/>
  <c r="G37" i="11" s="1"/>
  <c r="I37" i="11" s="1"/>
  <c r="C38" i="11" s="1"/>
  <c r="D62" i="11"/>
  <c r="A63" i="11"/>
  <c r="B62" i="11"/>
  <c r="B63" i="11" l="1"/>
  <c r="D63" i="11"/>
  <c r="A64" i="11"/>
  <c r="H38" i="11"/>
  <c r="J38" i="11" s="1"/>
  <c r="E38" i="11"/>
  <c r="F38" i="11" l="1"/>
  <c r="G38" i="11" s="1"/>
  <c r="I38" i="11" s="1"/>
  <c r="C39" i="11" s="1"/>
  <c r="D64" i="11"/>
  <c r="A65" i="11"/>
  <c r="B64" i="11"/>
  <c r="H39" i="11" l="1"/>
  <c r="J39" i="11" s="1"/>
  <c r="E39" i="11"/>
  <c r="B65" i="11"/>
  <c r="D65" i="11"/>
  <c r="A66" i="11"/>
  <c r="F39" i="11" l="1"/>
  <c r="G39" i="11" s="1"/>
  <c r="I39" i="11" s="1"/>
  <c r="C40" i="11" s="1"/>
  <c r="D66" i="11"/>
  <c r="A67" i="11"/>
  <c r="B66" i="11"/>
  <c r="H40" i="11" l="1"/>
  <c r="J40" i="11" s="1"/>
  <c r="E40" i="11"/>
  <c r="B67" i="11"/>
  <c r="A68" i="11"/>
  <c r="D67" i="11"/>
  <c r="D68" i="11" l="1"/>
  <c r="A69" i="11"/>
  <c r="B68" i="11"/>
  <c r="F40" i="11"/>
  <c r="G40" i="11" s="1"/>
  <c r="I40" i="11" s="1"/>
  <c r="C41" i="11" s="1"/>
  <c r="H41" i="11" l="1"/>
  <c r="J41" i="11" s="1"/>
  <c r="E41" i="11"/>
  <c r="B69" i="11"/>
  <c r="D69" i="11"/>
  <c r="A70" i="11"/>
  <c r="F41" i="11" l="1"/>
  <c r="G41" i="11" s="1"/>
  <c r="I41" i="11" s="1"/>
  <c r="C42" i="11" s="1"/>
  <c r="D70" i="11"/>
  <c r="A71" i="11"/>
  <c r="B70" i="11"/>
  <c r="H42" i="11" l="1"/>
  <c r="J42" i="11" s="1"/>
  <c r="E42" i="11"/>
  <c r="D71" i="11"/>
  <c r="B71" i="11"/>
  <c r="A72" i="11"/>
  <c r="B72" i="11" l="1"/>
  <c r="D72" i="11"/>
  <c r="A73" i="11"/>
  <c r="F42" i="11"/>
  <c r="G42" i="11" s="1"/>
  <c r="I42" i="11" s="1"/>
  <c r="C43" i="11" s="1"/>
  <c r="H43" i="11" l="1"/>
  <c r="J43" i="11" s="1"/>
  <c r="E43" i="11"/>
  <c r="D73" i="11"/>
  <c r="B73" i="11"/>
  <c r="A74" i="11"/>
  <c r="F43" i="11" l="1"/>
  <c r="G43" i="11" s="1"/>
  <c r="I43" i="11" s="1"/>
  <c r="C44" i="11" s="1"/>
  <c r="B74" i="11"/>
  <c r="D74" i="11"/>
  <c r="A75" i="11"/>
  <c r="H44" i="11" l="1"/>
  <c r="J44" i="11" s="1"/>
  <c r="E44" i="11"/>
  <c r="D75" i="11"/>
  <c r="B75" i="11"/>
  <c r="A76" i="11"/>
  <c r="F44" i="11" l="1"/>
  <c r="G44" i="11" s="1"/>
  <c r="I44" i="11" s="1"/>
  <c r="C45" i="11" s="1"/>
  <c r="B76" i="11"/>
  <c r="D76" i="11"/>
  <c r="A77" i="11"/>
  <c r="D77" i="11" l="1"/>
  <c r="B77" i="11"/>
  <c r="A78" i="11"/>
  <c r="E45" i="11"/>
  <c r="H45" i="11"/>
  <c r="J45" i="11" s="1"/>
  <c r="B78" i="11" l="1"/>
  <c r="D78" i="11"/>
  <c r="A79" i="11"/>
  <c r="F45" i="11"/>
  <c r="G45" i="11" s="1"/>
  <c r="I45" i="11" s="1"/>
  <c r="C46" i="11" s="1"/>
  <c r="H46" i="11" l="1"/>
  <c r="J46" i="11" s="1"/>
  <c r="E46" i="11"/>
  <c r="D79" i="11"/>
  <c r="B79" i="11"/>
  <c r="A80" i="11"/>
  <c r="F46" i="11" l="1"/>
  <c r="G46" i="11" s="1"/>
  <c r="I46" i="11" s="1"/>
  <c r="C47" i="11" s="1"/>
  <c r="B80" i="11"/>
  <c r="D80" i="11"/>
  <c r="A81" i="11"/>
  <c r="H47" i="11" l="1"/>
  <c r="J47" i="11" s="1"/>
  <c r="E47" i="11"/>
  <c r="D81" i="11"/>
  <c r="B81" i="11"/>
  <c r="A82" i="11"/>
  <c r="F47" i="11" l="1"/>
  <c r="G47" i="11" s="1"/>
  <c r="I47" i="11" s="1"/>
  <c r="C48" i="11" s="1"/>
  <c r="B82" i="11"/>
  <c r="D82" i="11"/>
  <c r="A83" i="11"/>
  <c r="H48" i="11" l="1"/>
  <c r="J48" i="11" s="1"/>
  <c r="E48" i="11"/>
  <c r="D83" i="11"/>
  <c r="B83" i="11"/>
  <c r="A84" i="11"/>
  <c r="B84" i="11" l="1"/>
  <c r="D84" i="11"/>
  <c r="A85" i="11"/>
  <c r="F48" i="11"/>
  <c r="G48" i="11" s="1"/>
  <c r="I48" i="11" s="1"/>
  <c r="C49" i="11" s="1"/>
  <c r="H49" i="11" l="1"/>
  <c r="J49" i="11" s="1"/>
  <c r="E49" i="11"/>
  <c r="D85" i="11"/>
  <c r="B85" i="11"/>
  <c r="A86" i="11"/>
  <c r="F49" i="11" l="1"/>
  <c r="G49" i="11" s="1"/>
  <c r="I49" i="11" s="1"/>
  <c r="C50" i="11" s="1"/>
  <c r="B86" i="11"/>
  <c r="D86" i="11"/>
  <c r="A87" i="11"/>
  <c r="H50" i="11" l="1"/>
  <c r="J50" i="11" s="1"/>
  <c r="E50" i="11"/>
  <c r="D87" i="11"/>
  <c r="B87" i="11"/>
  <c r="A88" i="11"/>
  <c r="B88" i="11" l="1"/>
  <c r="D88" i="11"/>
  <c r="A89" i="11"/>
  <c r="F50" i="11"/>
  <c r="G50" i="11" s="1"/>
  <c r="I50" i="11" s="1"/>
  <c r="C51" i="11" s="1"/>
  <c r="H51" i="11" l="1"/>
  <c r="J51" i="11" s="1"/>
  <c r="E51" i="11"/>
  <c r="D89" i="11"/>
  <c r="A90" i="11"/>
  <c r="B89" i="11"/>
  <c r="B90" i="11" l="1"/>
  <c r="D90" i="11"/>
  <c r="A91" i="11"/>
  <c r="F51" i="11"/>
  <c r="G51" i="11" s="1"/>
  <c r="I51" i="11" s="1"/>
  <c r="C52" i="11" s="1"/>
  <c r="E52" i="11" l="1"/>
  <c r="H52" i="11"/>
  <c r="J52" i="11" s="1"/>
  <c r="D91" i="11"/>
  <c r="A92" i="11"/>
  <c r="B91" i="11"/>
  <c r="B92" i="11" l="1"/>
  <c r="D92" i="11"/>
  <c r="A93" i="11"/>
  <c r="F52" i="11"/>
  <c r="G52" i="11" s="1"/>
  <c r="I52" i="11" s="1"/>
  <c r="C53" i="11" s="1"/>
  <c r="H53" i="11" l="1"/>
  <c r="J53" i="11" s="1"/>
  <c r="E53" i="11"/>
  <c r="D93" i="11"/>
  <c r="A94" i="11"/>
  <c r="B93" i="11"/>
  <c r="F53" i="11" l="1"/>
  <c r="G53" i="11" s="1"/>
  <c r="I53" i="11" s="1"/>
  <c r="C54" i="11" s="1"/>
  <c r="B94" i="11"/>
  <c r="D94" i="11"/>
  <c r="A95" i="11"/>
  <c r="H54" i="11" l="1"/>
  <c r="J54" i="11" s="1"/>
  <c r="E54" i="11"/>
  <c r="D95" i="11"/>
  <c r="A96" i="11"/>
  <c r="B95" i="11"/>
  <c r="F54" i="11" l="1"/>
  <c r="G54" i="11" s="1"/>
  <c r="I54" i="11"/>
  <c r="C55" i="11" s="1"/>
  <c r="B96" i="11"/>
  <c r="D96" i="11"/>
  <c r="A97" i="11"/>
  <c r="D97" i="11" l="1"/>
  <c r="A98" i="11"/>
  <c r="B97" i="11"/>
  <c r="H55" i="11"/>
  <c r="J55" i="11" s="1"/>
  <c r="E55" i="11"/>
  <c r="F55" i="11" l="1"/>
  <c r="G55" i="11" s="1"/>
  <c r="I55" i="11" s="1"/>
  <c r="C56" i="11" s="1"/>
  <c r="B98" i="11"/>
  <c r="D98" i="11"/>
  <c r="A99" i="11"/>
  <c r="H56" i="11" l="1"/>
  <c r="J56" i="11" s="1"/>
  <c r="E56" i="11"/>
  <c r="D99" i="11"/>
  <c r="A100" i="11"/>
  <c r="B99" i="11"/>
  <c r="F56" i="11" l="1"/>
  <c r="G56" i="11" s="1"/>
  <c r="I56" i="11"/>
  <c r="C57" i="11" s="1"/>
  <c r="B100" i="11"/>
  <c r="D100" i="11"/>
  <c r="A101" i="11"/>
  <c r="E57" i="11" l="1"/>
  <c r="H57" i="11"/>
  <c r="J57" i="11" s="1"/>
  <c r="D101" i="11"/>
  <c r="A102" i="11"/>
  <c r="B101" i="11"/>
  <c r="F57" i="11" l="1"/>
  <c r="G57" i="11" s="1"/>
  <c r="I57" i="11" s="1"/>
  <c r="C58" i="11" s="1"/>
  <c r="B102" i="11"/>
  <c r="D102" i="11"/>
  <c r="A103" i="11"/>
  <c r="H58" i="11" l="1"/>
  <c r="J58" i="11" s="1"/>
  <c r="E58" i="11"/>
  <c r="D103" i="11"/>
  <c r="A104" i="11"/>
  <c r="B103" i="11"/>
  <c r="B104" i="11" l="1"/>
  <c r="D104" i="11"/>
  <c r="A105" i="11"/>
  <c r="F58" i="11"/>
  <c r="G58" i="11" s="1"/>
  <c r="I58" i="11" s="1"/>
  <c r="C59" i="11" s="1"/>
  <c r="H59" i="11" l="1"/>
  <c r="J59" i="11" s="1"/>
  <c r="E59" i="11"/>
  <c r="D105" i="11"/>
  <c r="A106" i="11"/>
  <c r="B105" i="11"/>
  <c r="F59" i="11" l="1"/>
  <c r="G59" i="11" s="1"/>
  <c r="I59" i="11"/>
  <c r="C60" i="11" s="1"/>
  <c r="B106" i="11"/>
  <c r="D106" i="11"/>
  <c r="A107" i="11"/>
  <c r="H60" i="11" l="1"/>
  <c r="J60" i="11" s="1"/>
  <c r="E60" i="11"/>
  <c r="D107" i="11"/>
  <c r="A108" i="11"/>
  <c r="B107" i="11"/>
  <c r="F60" i="11" l="1"/>
  <c r="G60" i="11" s="1"/>
  <c r="I60" i="11" s="1"/>
  <c r="C61" i="11" s="1"/>
  <c r="B108" i="11"/>
  <c r="D108" i="11"/>
  <c r="A109" i="11"/>
  <c r="H61" i="11" l="1"/>
  <c r="J61" i="11" s="1"/>
  <c r="E61" i="11"/>
  <c r="D109" i="11"/>
  <c r="A110" i="11"/>
  <c r="B109" i="11"/>
  <c r="B110" i="11" l="1"/>
  <c r="D110" i="11"/>
  <c r="A111" i="11"/>
  <c r="F61" i="11"/>
  <c r="G61" i="11" s="1"/>
  <c r="I61" i="11" s="1"/>
  <c r="C62" i="11" s="1"/>
  <c r="H62" i="11" l="1"/>
  <c r="J62" i="11" s="1"/>
  <c r="E62" i="11"/>
  <c r="D111" i="11"/>
  <c r="A112" i="11"/>
  <c r="B111" i="11"/>
  <c r="B112" i="11" l="1"/>
  <c r="D112" i="11"/>
  <c r="A113" i="11"/>
  <c r="F62" i="11"/>
  <c r="G62" i="11" s="1"/>
  <c r="I62" i="11" s="1"/>
  <c r="C63" i="11" s="1"/>
  <c r="H63" i="11" l="1"/>
  <c r="J63" i="11" s="1"/>
  <c r="E63" i="11"/>
  <c r="D113" i="11"/>
  <c r="A114" i="11"/>
  <c r="B113" i="11"/>
  <c r="B114" i="11" l="1"/>
  <c r="D114" i="11"/>
  <c r="A115" i="11"/>
  <c r="F63" i="11"/>
  <c r="G63" i="11" s="1"/>
  <c r="I63" i="11" s="1"/>
  <c r="C64" i="11" s="1"/>
  <c r="H64" i="11" l="1"/>
  <c r="J64" i="11" s="1"/>
  <c r="E64" i="11"/>
  <c r="D115" i="11"/>
  <c r="A116" i="11"/>
  <c r="B115" i="11"/>
  <c r="B116" i="11" l="1"/>
  <c r="D116" i="11"/>
  <c r="A117" i="11"/>
  <c r="F64" i="11"/>
  <c r="G64" i="11" s="1"/>
  <c r="I64" i="11" s="1"/>
  <c r="C65" i="11" s="1"/>
  <c r="H65" i="11" l="1"/>
  <c r="J65" i="11" s="1"/>
  <c r="E65" i="11"/>
  <c r="D117" i="11"/>
  <c r="A118" i="11"/>
  <c r="B117" i="11"/>
  <c r="F65" i="11" l="1"/>
  <c r="G65" i="11" s="1"/>
  <c r="I65" i="11" s="1"/>
  <c r="C66" i="11" s="1"/>
  <c r="B118" i="11"/>
  <c r="D118" i="11"/>
  <c r="A119" i="11"/>
  <c r="D119" i="11" l="1"/>
  <c r="A120" i="11"/>
  <c r="B119" i="11"/>
  <c r="H66" i="11"/>
  <c r="J66" i="11" s="1"/>
  <c r="E66" i="11"/>
  <c r="F66" i="11" l="1"/>
  <c r="G66" i="11" s="1"/>
  <c r="I66" i="11" s="1"/>
  <c r="C67" i="11" s="1"/>
  <c r="B120" i="11"/>
  <c r="D120" i="11"/>
  <c r="A121" i="11"/>
  <c r="E67" i="11" l="1"/>
  <c r="H67" i="11"/>
  <c r="J67" i="11" s="1"/>
  <c r="D121" i="11"/>
  <c r="A122" i="11"/>
  <c r="B121" i="11"/>
  <c r="F67" i="11" l="1"/>
  <c r="G67" i="11" s="1"/>
  <c r="I67" i="11" s="1"/>
  <c r="C68" i="11" s="1"/>
  <c r="B122" i="11"/>
  <c r="D122" i="11"/>
  <c r="A123" i="11"/>
  <c r="H68" i="11" l="1"/>
  <c r="J68" i="11" s="1"/>
  <c r="E68" i="11"/>
  <c r="D123" i="11"/>
  <c r="A124" i="11"/>
  <c r="B123" i="11"/>
  <c r="F68" i="11" l="1"/>
  <c r="G68" i="11" s="1"/>
  <c r="I68" i="11" s="1"/>
  <c r="C69" i="11" s="1"/>
  <c r="B124" i="11"/>
  <c r="D124" i="11"/>
  <c r="A125" i="11"/>
  <c r="H69" i="11" l="1"/>
  <c r="J69" i="11" s="1"/>
  <c r="E69" i="11"/>
  <c r="D125" i="11"/>
  <c r="A126" i="11"/>
  <c r="B125" i="11"/>
  <c r="F69" i="11" l="1"/>
  <c r="G69" i="11" s="1"/>
  <c r="I69" i="11"/>
  <c r="C70" i="11" s="1"/>
  <c r="B126" i="11"/>
  <c r="D126" i="11"/>
  <c r="A127" i="11"/>
  <c r="D127" i="11" l="1"/>
  <c r="A128" i="11"/>
  <c r="B127" i="11"/>
  <c r="H70" i="11"/>
  <c r="J70" i="11" s="1"/>
  <c r="E70" i="11"/>
  <c r="F70" i="11" l="1"/>
  <c r="G70" i="11" s="1"/>
  <c r="I70" i="11" s="1"/>
  <c r="C71" i="11" s="1"/>
  <c r="B128" i="11"/>
  <c r="D128" i="11"/>
  <c r="A129" i="11"/>
  <c r="H71" i="11" l="1"/>
  <c r="J71" i="11" s="1"/>
  <c r="E71" i="11"/>
  <c r="D129" i="11"/>
  <c r="A130" i="11"/>
  <c r="B129" i="11"/>
  <c r="F71" i="11" l="1"/>
  <c r="G71" i="11" s="1"/>
  <c r="I71" i="11" s="1"/>
  <c r="C72" i="11" s="1"/>
  <c r="B130" i="11"/>
  <c r="D130" i="11"/>
  <c r="A131" i="11"/>
  <c r="H72" i="11" l="1"/>
  <c r="J72" i="11" s="1"/>
  <c r="E72" i="11"/>
  <c r="D131" i="11"/>
  <c r="A132" i="11"/>
  <c r="B131" i="11"/>
  <c r="B132" i="11" l="1"/>
  <c r="D132" i="11"/>
  <c r="A133" i="11"/>
  <c r="F72" i="11"/>
  <c r="G72" i="11" s="1"/>
  <c r="I72" i="11" s="1"/>
  <c r="C73" i="11" s="1"/>
  <c r="E73" i="11" l="1"/>
  <c r="H73" i="11"/>
  <c r="J73" i="11" s="1"/>
  <c r="D133" i="11"/>
  <c r="A134" i="11"/>
  <c r="B133" i="11"/>
  <c r="B134" i="11" l="1"/>
  <c r="D134" i="11"/>
  <c r="A135" i="11"/>
  <c r="F73" i="11"/>
  <c r="G73" i="11" s="1"/>
  <c r="I73" i="11" s="1"/>
  <c r="C74" i="11" s="1"/>
  <c r="H74" i="11" l="1"/>
  <c r="J74" i="11" s="1"/>
  <c r="E74" i="11"/>
  <c r="D135" i="11"/>
  <c r="A136" i="11"/>
  <c r="B135" i="11"/>
  <c r="B136" i="11" l="1"/>
  <c r="D136" i="11"/>
  <c r="A137" i="11"/>
  <c r="F74" i="11"/>
  <c r="G74" i="11" s="1"/>
  <c r="I74" i="11" s="1"/>
  <c r="C75" i="11" s="1"/>
  <c r="H75" i="11" l="1"/>
  <c r="J75" i="11" s="1"/>
  <c r="E75" i="11"/>
  <c r="D137" i="11"/>
  <c r="A138" i="11"/>
  <c r="B137" i="11"/>
  <c r="B138" i="11" l="1"/>
  <c r="D138" i="11"/>
  <c r="A139" i="11"/>
  <c r="F75" i="11"/>
  <c r="G75" i="11" s="1"/>
  <c r="I75" i="11" s="1"/>
  <c r="C76" i="11" s="1"/>
  <c r="H76" i="11" l="1"/>
  <c r="J76" i="11" s="1"/>
  <c r="E76" i="11"/>
  <c r="D139" i="11"/>
  <c r="A140" i="11"/>
  <c r="B139" i="11"/>
  <c r="F76" i="11" l="1"/>
  <c r="G76" i="11" s="1"/>
  <c r="I76" i="11" s="1"/>
  <c r="C77" i="11" s="1"/>
  <c r="B140" i="11"/>
  <c r="D140" i="11"/>
  <c r="A141" i="11"/>
  <c r="H77" i="11" l="1"/>
  <c r="J77" i="11" s="1"/>
  <c r="E77" i="11"/>
  <c r="D141" i="11"/>
  <c r="A142" i="11"/>
  <c r="B141" i="11"/>
  <c r="F77" i="11" l="1"/>
  <c r="G77" i="11" s="1"/>
  <c r="I77" i="11"/>
  <c r="C78" i="11" s="1"/>
  <c r="B142" i="11"/>
  <c r="D142" i="11"/>
  <c r="A143" i="11"/>
  <c r="H78" i="11" l="1"/>
  <c r="J78" i="11" s="1"/>
  <c r="E78" i="11"/>
  <c r="D143" i="11"/>
  <c r="A144" i="11"/>
  <c r="B143" i="11"/>
  <c r="B144" i="11" l="1"/>
  <c r="D144" i="11"/>
  <c r="A145" i="11"/>
  <c r="F78" i="11"/>
  <c r="G78" i="11" s="1"/>
  <c r="I78" i="11" s="1"/>
  <c r="C79" i="11" s="1"/>
  <c r="H79" i="11" l="1"/>
  <c r="J79" i="11" s="1"/>
  <c r="E79" i="11"/>
  <c r="D145" i="11"/>
  <c r="A146" i="11"/>
  <c r="B145" i="11"/>
  <c r="B146" i="11" l="1"/>
  <c r="D146" i="11"/>
  <c r="A147" i="11"/>
  <c r="F79" i="11"/>
  <c r="G79" i="11" s="1"/>
  <c r="I79" i="11" s="1"/>
  <c r="C80" i="11" s="1"/>
  <c r="E80" i="11" l="1"/>
  <c r="H80" i="11"/>
  <c r="J80" i="11" s="1"/>
  <c r="D147" i="11"/>
  <c r="A148" i="11"/>
  <c r="B147" i="11"/>
  <c r="B148" i="11" l="1"/>
  <c r="D148" i="11"/>
  <c r="A149" i="11"/>
  <c r="F80" i="11"/>
  <c r="G80" i="11" s="1"/>
  <c r="I80" i="11" s="1"/>
  <c r="C81" i="11" s="1"/>
  <c r="H81" i="11" l="1"/>
  <c r="J81" i="11" s="1"/>
  <c r="E81" i="11"/>
  <c r="D149" i="11"/>
  <c r="A150" i="11"/>
  <c r="B149" i="11"/>
  <c r="B150" i="11" l="1"/>
  <c r="D150" i="11"/>
  <c r="A151" i="11"/>
  <c r="F81" i="11"/>
  <c r="G81" i="11" s="1"/>
  <c r="I81" i="11" s="1"/>
  <c r="C82" i="11" s="1"/>
  <c r="E82" i="11" l="1"/>
  <c r="H82" i="11"/>
  <c r="J82" i="11" s="1"/>
  <c r="D151" i="11"/>
  <c r="A152" i="11"/>
  <c r="B151" i="11"/>
  <c r="F82" i="11" l="1"/>
  <c r="G82" i="11" s="1"/>
  <c r="I82" i="11" s="1"/>
  <c r="C83" i="11" s="1"/>
  <c r="B152" i="11"/>
  <c r="D152" i="11"/>
  <c r="A153" i="11"/>
  <c r="H83" i="11" l="1"/>
  <c r="J83" i="11" s="1"/>
  <c r="E83" i="11"/>
  <c r="D153" i="11"/>
  <c r="A154" i="11"/>
  <c r="B153" i="11"/>
  <c r="F83" i="11" l="1"/>
  <c r="G83" i="11" s="1"/>
  <c r="I83" i="11" s="1"/>
  <c r="C84" i="11" s="1"/>
  <c r="B154" i="11"/>
  <c r="D154" i="11"/>
  <c r="A155" i="11"/>
  <c r="H84" i="11" l="1"/>
  <c r="J84" i="11" s="1"/>
  <c r="E84" i="11"/>
  <c r="D155" i="11"/>
  <c r="A156" i="11"/>
  <c r="B155" i="11"/>
  <c r="F84" i="11" l="1"/>
  <c r="G84" i="11" s="1"/>
  <c r="I84" i="11" s="1"/>
  <c r="C85" i="11" s="1"/>
  <c r="B156" i="11"/>
  <c r="D156" i="11"/>
  <c r="A157" i="11"/>
  <c r="D157" i="11" l="1"/>
  <c r="A158" i="11"/>
  <c r="B157" i="11"/>
  <c r="E85" i="11"/>
  <c r="H85" i="11"/>
  <c r="J85" i="11" s="1"/>
  <c r="B158" i="11" l="1"/>
  <c r="D158" i="11"/>
  <c r="A159" i="11"/>
  <c r="F85" i="11"/>
  <c r="G85" i="11" s="1"/>
  <c r="I85" i="11" s="1"/>
  <c r="C86" i="11" s="1"/>
  <c r="H86" i="11" l="1"/>
  <c r="J86" i="11" s="1"/>
  <c r="E86" i="11"/>
  <c r="B159" i="11"/>
  <c r="A160" i="11"/>
  <c r="D159" i="11"/>
  <c r="D160" i="11" l="1"/>
  <c r="A161" i="11"/>
  <c r="B160" i="11"/>
  <c r="F86" i="11"/>
  <c r="G86" i="11" s="1"/>
  <c r="I86" i="11" s="1"/>
  <c r="C87" i="11" s="1"/>
  <c r="H87" i="11" l="1"/>
  <c r="J87" i="11" s="1"/>
  <c r="E87" i="11"/>
  <c r="B161" i="11"/>
  <c r="A162" i="11"/>
  <c r="D161" i="11"/>
  <c r="D162" i="11" l="1"/>
  <c r="B162" i="11"/>
  <c r="A163" i="11"/>
  <c r="F87" i="11"/>
  <c r="G87" i="11" s="1"/>
  <c r="I87" i="11" s="1"/>
  <c r="C88" i="11" s="1"/>
  <c r="H88" i="11" l="1"/>
  <c r="J88" i="11" s="1"/>
  <c r="E88" i="11"/>
  <c r="B163" i="11"/>
  <c r="A164" i="11"/>
  <c r="D163" i="11"/>
  <c r="D164" i="11" l="1"/>
  <c r="B164" i="11"/>
  <c r="A165" i="11"/>
  <c r="F88" i="11"/>
  <c r="G88" i="11" s="1"/>
  <c r="I88" i="11" s="1"/>
  <c r="C89" i="11" s="1"/>
  <c r="H89" i="11" l="1"/>
  <c r="J89" i="11" s="1"/>
  <c r="E89" i="11"/>
  <c r="B165" i="11"/>
  <c r="D165" i="11"/>
  <c r="A166" i="11"/>
  <c r="F89" i="11" l="1"/>
  <c r="G89" i="11" s="1"/>
  <c r="I89" i="11" s="1"/>
  <c r="C90" i="11" s="1"/>
  <c r="D166" i="11"/>
  <c r="B166" i="11"/>
  <c r="A167" i="11"/>
  <c r="H90" i="11" l="1"/>
  <c r="J90" i="11" s="1"/>
  <c r="E90" i="11"/>
  <c r="B167" i="11"/>
  <c r="A168" i="11"/>
  <c r="D167" i="11"/>
  <c r="F90" i="11" l="1"/>
  <c r="G90" i="11" s="1"/>
  <c r="I90" i="11" s="1"/>
  <c r="C91" i="11" s="1"/>
  <c r="D168" i="11"/>
  <c r="A169" i="11"/>
  <c r="B168" i="11"/>
  <c r="H91" i="11" l="1"/>
  <c r="J91" i="11" s="1"/>
  <c r="E91" i="11"/>
  <c r="B169" i="11"/>
  <c r="A170" i="11"/>
  <c r="D169" i="11"/>
  <c r="D170" i="11" l="1"/>
  <c r="B170" i="11"/>
  <c r="A171" i="11"/>
  <c r="F91" i="11"/>
  <c r="G91" i="11" s="1"/>
  <c r="I91" i="11" s="1"/>
  <c r="C92" i="11" s="1"/>
  <c r="B171" i="11" l="1"/>
  <c r="A172" i="11"/>
  <c r="D171" i="11"/>
  <c r="H92" i="11"/>
  <c r="J92" i="11" s="1"/>
  <c r="E92" i="11"/>
  <c r="F92" i="11" l="1"/>
  <c r="G92" i="11" s="1"/>
  <c r="I92" i="11" s="1"/>
  <c r="C93" i="11" s="1"/>
  <c r="D172" i="11"/>
  <c r="B172" i="11"/>
  <c r="A173" i="11"/>
  <c r="H93" i="11" l="1"/>
  <c r="J93" i="11" s="1"/>
  <c r="E93" i="11"/>
  <c r="B173" i="11"/>
  <c r="D173" i="11"/>
  <c r="A174" i="11"/>
  <c r="F93" i="11" l="1"/>
  <c r="G93" i="11" s="1"/>
  <c r="I93" i="11" s="1"/>
  <c r="C94" i="11" s="1"/>
  <c r="D174" i="11"/>
  <c r="B174" i="11"/>
  <c r="A175" i="11"/>
  <c r="H94" i="11" l="1"/>
  <c r="J94" i="11" s="1"/>
  <c r="E94" i="11"/>
  <c r="B175" i="11"/>
  <c r="A176" i="11"/>
  <c r="D175" i="11"/>
  <c r="F94" i="11" l="1"/>
  <c r="G94" i="11" s="1"/>
  <c r="I94" i="11" s="1"/>
  <c r="C95" i="11" s="1"/>
  <c r="D176" i="11"/>
  <c r="A177" i="11"/>
  <c r="B176" i="11"/>
  <c r="H95" i="11" l="1"/>
  <c r="J95" i="11" s="1"/>
  <c r="E95" i="11"/>
  <c r="B177" i="11"/>
  <c r="A178" i="11"/>
  <c r="D177" i="11"/>
  <c r="D178" i="11" l="1"/>
  <c r="B178" i="11"/>
  <c r="A179" i="11"/>
  <c r="F95" i="11"/>
  <c r="G95" i="11" s="1"/>
  <c r="I95" i="11" s="1"/>
  <c r="C96" i="11" s="1"/>
  <c r="E96" i="11" l="1"/>
  <c r="H96" i="11"/>
  <c r="J96" i="11" s="1"/>
  <c r="B179" i="11"/>
  <c r="A180" i="11"/>
  <c r="D179" i="11"/>
  <c r="D180" i="11" l="1"/>
  <c r="B180" i="11"/>
  <c r="A181" i="11"/>
  <c r="F96" i="11"/>
  <c r="G96" i="11" s="1"/>
  <c r="I96" i="11" s="1"/>
  <c r="C97" i="11" s="1"/>
  <c r="H97" i="11" l="1"/>
  <c r="J97" i="11" s="1"/>
  <c r="E97" i="11"/>
  <c r="A182" i="11"/>
  <c r="B181" i="11"/>
  <c r="D181" i="11"/>
  <c r="D182" i="11" l="1"/>
  <c r="B182" i="11"/>
  <c r="A183" i="11"/>
  <c r="F97" i="11"/>
  <c r="G97" i="11" s="1"/>
  <c r="I97" i="11" s="1"/>
  <c r="C98" i="11" s="1"/>
  <c r="H98" i="11" l="1"/>
  <c r="J98" i="11" s="1"/>
  <c r="E98" i="11"/>
  <c r="A184" i="11"/>
  <c r="B183" i="11"/>
  <c r="D183" i="11"/>
  <c r="D184" i="11" l="1"/>
  <c r="A185" i="11"/>
  <c r="B184" i="11"/>
  <c r="F98" i="11"/>
  <c r="G98" i="11" s="1"/>
  <c r="I98" i="11" s="1"/>
  <c r="C99" i="11" s="1"/>
  <c r="H99" i="11" l="1"/>
  <c r="J99" i="11" s="1"/>
  <c r="E99" i="11"/>
  <c r="A186" i="11"/>
  <c r="B185" i="11"/>
  <c r="D185" i="11"/>
  <c r="D186" i="11" l="1"/>
  <c r="B186" i="11"/>
  <c r="A187" i="11"/>
  <c r="F99" i="11"/>
  <c r="G99" i="11" s="1"/>
  <c r="I99" i="11" s="1"/>
  <c r="C100" i="11" s="1"/>
  <c r="H100" i="11" l="1"/>
  <c r="J100" i="11" s="1"/>
  <c r="E100" i="11"/>
  <c r="A188" i="11"/>
  <c r="B187" i="11"/>
  <c r="D187" i="11"/>
  <c r="D188" i="11" l="1"/>
  <c r="A189" i="11"/>
  <c r="B188" i="11"/>
  <c r="I100" i="11"/>
  <c r="C101" i="11" s="1"/>
  <c r="F100" i="11"/>
  <c r="G100" i="11" s="1"/>
  <c r="A190" i="11" l="1"/>
  <c r="B189" i="11"/>
  <c r="D189" i="11"/>
  <c r="H101" i="11"/>
  <c r="J101" i="11" s="1"/>
  <c r="E101" i="11"/>
  <c r="D190" i="11" l="1"/>
  <c r="A191" i="11"/>
  <c r="B190" i="11"/>
  <c r="F101" i="11"/>
  <c r="G101" i="11" s="1"/>
  <c r="I101" i="11" s="1"/>
  <c r="C102" i="11" s="1"/>
  <c r="H102" i="11" l="1"/>
  <c r="J102" i="11" s="1"/>
  <c r="E102" i="11"/>
  <c r="A192" i="11"/>
  <c r="B191" i="11"/>
  <c r="D191" i="11"/>
  <c r="F102" i="11" l="1"/>
  <c r="G102" i="11" s="1"/>
  <c r="I102" i="11" s="1"/>
  <c r="C103" i="11" s="1"/>
  <c r="D192" i="11"/>
  <c r="A193" i="11"/>
  <c r="B192" i="11"/>
  <c r="H103" i="11" l="1"/>
  <c r="J103" i="11" s="1"/>
  <c r="E103" i="11"/>
  <c r="A194" i="11"/>
  <c r="B193" i="11"/>
  <c r="D193" i="11"/>
  <c r="F103" i="11" l="1"/>
  <c r="G103" i="11" s="1"/>
  <c r="I103" i="11" s="1"/>
  <c r="C104" i="11" s="1"/>
  <c r="D194" i="11"/>
  <c r="A195" i="11"/>
  <c r="B194" i="11"/>
  <c r="H104" i="11" l="1"/>
  <c r="J104" i="11" s="1"/>
  <c r="E104" i="11"/>
  <c r="A196" i="11"/>
  <c r="B195" i="11"/>
  <c r="D195" i="11"/>
  <c r="F104" i="11" l="1"/>
  <c r="G104" i="11" s="1"/>
  <c r="I104" i="11" s="1"/>
  <c r="C105" i="11" s="1"/>
  <c r="D196" i="11"/>
  <c r="A197" i="11"/>
  <c r="B196" i="11"/>
  <c r="H105" i="11" l="1"/>
  <c r="J105" i="11" s="1"/>
  <c r="E105" i="11"/>
  <c r="A198" i="11"/>
  <c r="B197" i="11"/>
  <c r="D197" i="11"/>
  <c r="F105" i="11" l="1"/>
  <c r="G105" i="11" s="1"/>
  <c r="I105" i="11" s="1"/>
  <c r="C106" i="11" s="1"/>
  <c r="D198" i="11"/>
  <c r="A199" i="11"/>
  <c r="B198" i="11"/>
  <c r="E106" i="11" l="1"/>
  <c r="H106" i="11"/>
  <c r="J106" i="11" s="1"/>
  <c r="A200" i="11"/>
  <c r="B199" i="11"/>
  <c r="D199" i="11"/>
  <c r="D200" i="11" l="1"/>
  <c r="A201" i="11"/>
  <c r="B200" i="11"/>
  <c r="F106" i="11"/>
  <c r="G106" i="11" s="1"/>
  <c r="I106" i="11" s="1"/>
  <c r="C107" i="11" s="1"/>
  <c r="H107" i="11" l="1"/>
  <c r="J107" i="11" s="1"/>
  <c r="E107" i="11"/>
  <c r="A202" i="11"/>
  <c r="B201" i="11"/>
  <c r="D201" i="11"/>
  <c r="F107" i="11" l="1"/>
  <c r="G107" i="11" s="1"/>
  <c r="I107" i="11" s="1"/>
  <c r="C108" i="11" s="1"/>
  <c r="D202" i="11"/>
  <c r="A203" i="11"/>
  <c r="B202" i="11"/>
  <c r="H108" i="11" l="1"/>
  <c r="J108" i="11" s="1"/>
  <c r="E108" i="11"/>
  <c r="A204" i="11"/>
  <c r="B203" i="11"/>
  <c r="D203" i="11"/>
  <c r="F108" i="11" l="1"/>
  <c r="G108" i="11" s="1"/>
  <c r="I108" i="11" s="1"/>
  <c r="C109" i="11" s="1"/>
  <c r="D204" i="11"/>
  <c r="A205" i="11"/>
  <c r="B204" i="11"/>
  <c r="H109" i="11" l="1"/>
  <c r="J109" i="11" s="1"/>
  <c r="E109" i="11"/>
  <c r="A206" i="11"/>
  <c r="B205" i="11"/>
  <c r="D205" i="11"/>
  <c r="F109" i="11" l="1"/>
  <c r="G109" i="11" s="1"/>
  <c r="I109" i="11" s="1"/>
  <c r="C110" i="11" s="1"/>
  <c r="D206" i="11"/>
  <c r="A207" i="11"/>
  <c r="B206" i="11"/>
  <c r="H110" i="11" l="1"/>
  <c r="J110" i="11" s="1"/>
  <c r="E110" i="11"/>
  <c r="A208" i="11"/>
  <c r="B207" i="11"/>
  <c r="D207" i="11"/>
  <c r="F110" i="11" l="1"/>
  <c r="G110" i="11" s="1"/>
  <c r="I110" i="11" s="1"/>
  <c r="C111" i="11" s="1"/>
  <c r="D208" i="11"/>
  <c r="A209" i="11"/>
  <c r="B208" i="11"/>
  <c r="H111" i="11" l="1"/>
  <c r="J111" i="11" s="1"/>
  <c r="E111" i="11"/>
  <c r="A210" i="11"/>
  <c r="B209" i="11"/>
  <c r="D209" i="11"/>
  <c r="F111" i="11" l="1"/>
  <c r="G111" i="11" s="1"/>
  <c r="I111" i="11" s="1"/>
  <c r="C112" i="11" s="1"/>
  <c r="D210" i="11"/>
  <c r="A211" i="11"/>
  <c r="B210" i="11"/>
  <c r="H112" i="11" l="1"/>
  <c r="J112" i="11" s="1"/>
  <c r="E112" i="11"/>
  <c r="A212" i="11"/>
  <c r="B211" i="11"/>
  <c r="D211" i="11"/>
  <c r="F112" i="11" l="1"/>
  <c r="G112" i="11" s="1"/>
  <c r="I112" i="11" s="1"/>
  <c r="C113" i="11" s="1"/>
  <c r="D212" i="11"/>
  <c r="A213" i="11"/>
  <c r="B212" i="11"/>
  <c r="H113" i="11" l="1"/>
  <c r="J113" i="11" s="1"/>
  <c r="E113" i="11"/>
  <c r="A214" i="11"/>
  <c r="B213" i="11"/>
  <c r="D213" i="11"/>
  <c r="D214" i="11" l="1"/>
  <c r="A215" i="11"/>
  <c r="B214" i="11"/>
  <c r="F113" i="11"/>
  <c r="G113" i="11" s="1"/>
  <c r="I113" i="11" s="1"/>
  <c r="C114" i="11" s="1"/>
  <c r="H114" i="11" l="1"/>
  <c r="J114" i="11" s="1"/>
  <c r="E114" i="11"/>
  <c r="A216" i="11"/>
  <c r="B215" i="11"/>
  <c r="D215" i="11"/>
  <c r="D216" i="11" l="1"/>
  <c r="A217" i="11"/>
  <c r="B216" i="11"/>
  <c r="I114" i="11"/>
  <c r="C115" i="11" s="1"/>
  <c r="F114" i="11"/>
  <c r="G114" i="11" s="1"/>
  <c r="H115" i="11" l="1"/>
  <c r="J115" i="11" s="1"/>
  <c r="E115" i="11"/>
  <c r="A218" i="11"/>
  <c r="B217" i="11"/>
  <c r="D217" i="11"/>
  <c r="D218" i="11" l="1"/>
  <c r="A219" i="11"/>
  <c r="B218" i="11"/>
  <c r="F115" i="11"/>
  <c r="G115" i="11" s="1"/>
  <c r="I115" i="11" s="1"/>
  <c r="C116" i="11" s="1"/>
  <c r="H116" i="11" l="1"/>
  <c r="J116" i="11" s="1"/>
  <c r="E116" i="11"/>
  <c r="A220" i="11"/>
  <c r="B219" i="11"/>
  <c r="D219" i="11"/>
  <c r="D220" i="11" l="1"/>
  <c r="A221" i="11"/>
  <c r="B220" i="11"/>
  <c r="F116" i="11"/>
  <c r="G116" i="11" s="1"/>
  <c r="I116" i="11" s="1"/>
  <c r="C117" i="11" s="1"/>
  <c r="H117" i="11" l="1"/>
  <c r="J117" i="11" s="1"/>
  <c r="E117" i="11"/>
  <c r="A222" i="11"/>
  <c r="B221" i="11"/>
  <c r="D221" i="11"/>
  <c r="F117" i="11" l="1"/>
  <c r="G117" i="11" s="1"/>
  <c r="I117" i="11"/>
  <c r="C118" i="11" s="1"/>
  <c r="D222" i="11"/>
  <c r="A223" i="11"/>
  <c r="B222" i="11"/>
  <c r="H118" i="11" l="1"/>
  <c r="J118" i="11" s="1"/>
  <c r="E118" i="11"/>
  <c r="A224" i="11"/>
  <c r="B223" i="11"/>
  <c r="D223" i="11"/>
  <c r="F118" i="11" l="1"/>
  <c r="G118" i="11" s="1"/>
  <c r="I118" i="11" s="1"/>
  <c r="C119" i="11" s="1"/>
  <c r="D224" i="11"/>
  <c r="A225" i="11"/>
  <c r="B224" i="11"/>
  <c r="H119" i="11" l="1"/>
  <c r="J119" i="11" s="1"/>
  <c r="E119" i="11"/>
  <c r="A226" i="11"/>
  <c r="B225" i="11"/>
  <c r="D225" i="11"/>
  <c r="F119" i="11" l="1"/>
  <c r="G119" i="11" s="1"/>
  <c r="I119" i="11" s="1"/>
  <c r="C120" i="11" s="1"/>
  <c r="D226" i="11"/>
  <c r="A227" i="11"/>
  <c r="B226" i="11"/>
  <c r="H120" i="11" l="1"/>
  <c r="J120" i="11" s="1"/>
  <c r="E120" i="11"/>
  <c r="A228" i="11"/>
  <c r="B227" i="11"/>
  <c r="D227" i="11"/>
  <c r="F120" i="11" l="1"/>
  <c r="G120" i="11" s="1"/>
  <c r="I120" i="11" s="1"/>
  <c r="C121" i="11" s="1"/>
  <c r="D228" i="11"/>
  <c r="A229" i="11"/>
  <c r="B228" i="11"/>
  <c r="E121" i="11" l="1"/>
  <c r="H121" i="11"/>
  <c r="J121" i="11" s="1"/>
  <c r="A230" i="11"/>
  <c r="B229" i="11"/>
  <c r="D229" i="11"/>
  <c r="D230" i="11" l="1"/>
  <c r="A231" i="11"/>
  <c r="B230" i="11"/>
  <c r="F121" i="11"/>
  <c r="G121" i="11" s="1"/>
  <c r="I121" i="11" s="1"/>
  <c r="C122" i="11" s="1"/>
  <c r="H122" i="11" l="1"/>
  <c r="J122" i="11" s="1"/>
  <c r="E122" i="11"/>
  <c r="A232" i="11"/>
  <c r="B231" i="11"/>
  <c r="D231" i="11"/>
  <c r="D232" i="11" l="1"/>
  <c r="A233" i="11"/>
  <c r="B232" i="11"/>
  <c r="F122" i="11"/>
  <c r="G122" i="11" s="1"/>
  <c r="I122" i="11" s="1"/>
  <c r="C123" i="11" s="1"/>
  <c r="H123" i="11" l="1"/>
  <c r="J123" i="11" s="1"/>
  <c r="E123" i="11"/>
  <c r="A234" i="11"/>
  <c r="B233" i="11"/>
  <c r="D233" i="11"/>
  <c r="D234" i="11" l="1"/>
  <c r="A235" i="11"/>
  <c r="B234" i="11"/>
  <c r="F123" i="11"/>
  <c r="G123" i="11" s="1"/>
  <c r="I123" i="11" s="1"/>
  <c r="C124" i="11" s="1"/>
  <c r="A236" i="11" l="1"/>
  <c r="B235" i="11"/>
  <c r="D235" i="11"/>
  <c r="H124" i="11"/>
  <c r="J124" i="11" s="1"/>
  <c r="E124" i="11"/>
  <c r="D236" i="11" l="1"/>
  <c r="A237" i="11"/>
  <c r="B236" i="11"/>
  <c r="F124" i="11"/>
  <c r="G124" i="11" s="1"/>
  <c r="I124" i="11" s="1"/>
  <c r="C125" i="11" s="1"/>
  <c r="H125" i="11" l="1"/>
  <c r="J125" i="11" s="1"/>
  <c r="E125" i="11"/>
  <c r="A238" i="11"/>
  <c r="B237" i="11"/>
  <c r="D237" i="11"/>
  <c r="D238" i="11" l="1"/>
  <c r="A239" i="11"/>
  <c r="B238" i="11"/>
  <c r="F125" i="11"/>
  <c r="G125" i="11" s="1"/>
  <c r="I125" i="11" s="1"/>
  <c r="C126" i="11" s="1"/>
  <c r="H126" i="11" l="1"/>
  <c r="J126" i="11" s="1"/>
  <c r="E126" i="11"/>
  <c r="A240" i="11"/>
  <c r="B239" i="11"/>
  <c r="D239" i="11"/>
  <c r="D240" i="11" l="1"/>
  <c r="A241" i="11"/>
  <c r="B240" i="11"/>
  <c r="F126" i="11"/>
  <c r="G126" i="11" s="1"/>
  <c r="I126" i="11" s="1"/>
  <c r="C127" i="11" s="1"/>
  <c r="H127" i="11" l="1"/>
  <c r="J127" i="11" s="1"/>
  <c r="E127" i="11"/>
  <c r="A242" i="11"/>
  <c r="B241" i="11"/>
  <c r="D241" i="11"/>
  <c r="D242" i="11" l="1"/>
  <c r="A243" i="11"/>
  <c r="B242" i="11"/>
  <c r="F127" i="11"/>
  <c r="G127" i="11" s="1"/>
  <c r="I127" i="11" s="1"/>
  <c r="C128" i="11" s="1"/>
  <c r="A244" i="11" l="1"/>
  <c r="B243" i="11"/>
  <c r="D243" i="11"/>
  <c r="H128" i="11"/>
  <c r="J128" i="11" s="1"/>
  <c r="E128" i="11"/>
  <c r="F128" i="11" l="1"/>
  <c r="G128" i="11" s="1"/>
  <c r="I128" i="11" s="1"/>
  <c r="C129" i="11" s="1"/>
  <c r="D244" i="11"/>
  <c r="A245" i="11"/>
  <c r="B244" i="11"/>
  <c r="E129" i="11" l="1"/>
  <c r="H129" i="11"/>
  <c r="J129" i="11" s="1"/>
  <c r="A246" i="11"/>
  <c r="B245" i="11"/>
  <c r="D245" i="11"/>
  <c r="D246" i="11" l="1"/>
  <c r="A247" i="11"/>
  <c r="B246" i="11"/>
  <c r="F129" i="11"/>
  <c r="G129" i="11" s="1"/>
  <c r="I129" i="11" s="1"/>
  <c r="C130" i="11" s="1"/>
  <c r="H130" i="11" l="1"/>
  <c r="J130" i="11" s="1"/>
  <c r="E130" i="11"/>
  <c r="A248" i="11"/>
  <c r="B247" i="11"/>
  <c r="D247" i="11"/>
  <c r="D248" i="11" l="1"/>
  <c r="A249" i="11"/>
  <c r="B248" i="11"/>
  <c r="F130" i="11"/>
  <c r="G130" i="11" s="1"/>
  <c r="I130" i="11" s="1"/>
  <c r="C131" i="11" s="1"/>
  <c r="H131" i="11" l="1"/>
  <c r="J131" i="11" s="1"/>
  <c r="E131" i="11"/>
  <c r="A250" i="11"/>
  <c r="B249" i="11"/>
  <c r="D249" i="11"/>
  <c r="D250" i="11" l="1"/>
  <c r="A251" i="11"/>
  <c r="B250" i="11"/>
  <c r="F131" i="11"/>
  <c r="G131" i="11" s="1"/>
  <c r="I131" i="11" s="1"/>
  <c r="C132" i="11" s="1"/>
  <c r="H132" i="11" l="1"/>
  <c r="J132" i="11" s="1"/>
  <c r="E132" i="11"/>
  <c r="A252" i="11"/>
  <c r="B251" i="11"/>
  <c r="D251" i="11"/>
  <c r="D252" i="11" l="1"/>
  <c r="A253" i="11"/>
  <c r="B252" i="11"/>
  <c r="F132" i="11"/>
  <c r="G132" i="11" s="1"/>
  <c r="I132" i="11" s="1"/>
  <c r="C133" i="11" s="1"/>
  <c r="H133" i="11" l="1"/>
  <c r="J133" i="11" s="1"/>
  <c r="E133" i="11"/>
  <c r="A254" i="11"/>
  <c r="B253" i="11"/>
  <c r="D253" i="11"/>
  <c r="D254" i="11" l="1"/>
  <c r="A255" i="11"/>
  <c r="B254" i="11"/>
  <c r="F133" i="11"/>
  <c r="G133" i="11" s="1"/>
  <c r="I133" i="11" s="1"/>
  <c r="C134" i="11" s="1"/>
  <c r="H134" i="11" l="1"/>
  <c r="J134" i="11" s="1"/>
  <c r="E134" i="11"/>
  <c r="A256" i="11"/>
  <c r="B255" i="11"/>
  <c r="D255" i="11"/>
  <c r="D256" i="11" l="1"/>
  <c r="A257" i="11"/>
  <c r="B256" i="11"/>
  <c r="F134" i="11"/>
  <c r="G134" i="11" s="1"/>
  <c r="I134" i="11" s="1"/>
  <c r="C135" i="11" s="1"/>
  <c r="B257" i="11" l="1"/>
  <c r="A258" i="11"/>
  <c r="D257" i="11"/>
  <c r="H135" i="11"/>
  <c r="J135" i="11" s="1"/>
  <c r="E135" i="11"/>
  <c r="F135" i="11" l="1"/>
  <c r="G135" i="11" s="1"/>
  <c r="I135" i="11" s="1"/>
  <c r="C136" i="11" s="1"/>
  <c r="D258" i="11"/>
  <c r="B258" i="11"/>
  <c r="A259" i="11"/>
  <c r="B259" i="11" l="1"/>
  <c r="A260" i="11"/>
  <c r="D259" i="11"/>
  <c r="H136" i="11"/>
  <c r="J136" i="11" s="1"/>
  <c r="E136" i="11"/>
  <c r="D260" i="11" l="1"/>
  <c r="B260" i="11"/>
  <c r="A261" i="11"/>
  <c r="F136" i="11"/>
  <c r="G136" i="11" s="1"/>
  <c r="I136" i="11" s="1"/>
  <c r="C137" i="11" s="1"/>
  <c r="E137" i="11" l="1"/>
  <c r="H137" i="11"/>
  <c r="J137" i="11" s="1"/>
  <c r="B261" i="11"/>
  <c r="D261" i="11"/>
  <c r="A262" i="11"/>
  <c r="D262" i="11" l="1"/>
  <c r="B262" i="11"/>
  <c r="A263" i="11"/>
  <c r="F137" i="11"/>
  <c r="G137" i="11" s="1"/>
  <c r="I137" i="11"/>
  <c r="C138" i="11" s="1"/>
  <c r="H138" i="11" l="1"/>
  <c r="J138" i="11" s="1"/>
  <c r="E138" i="11"/>
  <c r="B263" i="11"/>
  <c r="A264" i="11"/>
  <c r="D263" i="11"/>
  <c r="D264" i="11" l="1"/>
  <c r="A265" i="11"/>
  <c r="B264" i="11"/>
  <c r="F138" i="11"/>
  <c r="G138" i="11" s="1"/>
  <c r="I138" i="11"/>
  <c r="C139" i="11" s="1"/>
  <c r="B265" i="11" l="1"/>
  <c r="A266" i="11"/>
  <c r="D265" i="11"/>
  <c r="H139" i="11"/>
  <c r="J139" i="11" s="1"/>
  <c r="E139" i="11"/>
  <c r="F139" i="11" l="1"/>
  <c r="G139" i="11" s="1"/>
  <c r="I139" i="11"/>
  <c r="C140" i="11" s="1"/>
  <c r="D266" i="11"/>
  <c r="B266" i="11"/>
  <c r="A267" i="11"/>
  <c r="B267" i="11" l="1"/>
  <c r="A268" i="11"/>
  <c r="D267" i="11"/>
  <c r="H140" i="11"/>
  <c r="J140" i="11" s="1"/>
  <c r="E140" i="11"/>
  <c r="I140" i="11" l="1"/>
  <c r="C141" i="11" s="1"/>
  <c r="F140" i="11"/>
  <c r="G140" i="11" s="1"/>
  <c r="D268" i="11"/>
  <c r="B268" i="11"/>
  <c r="A269" i="11"/>
  <c r="B269" i="11" l="1"/>
  <c r="D269" i="11"/>
  <c r="A270" i="11"/>
  <c r="H141" i="11"/>
  <c r="J141" i="11" s="1"/>
  <c r="E141" i="11"/>
  <c r="F141" i="11" l="1"/>
  <c r="G141" i="11" s="1"/>
  <c r="I141" i="11"/>
  <c r="C142" i="11" s="1"/>
  <c r="D270" i="11"/>
  <c r="B270" i="11"/>
  <c r="A271" i="11"/>
  <c r="B271" i="11" l="1"/>
  <c r="A272" i="11"/>
  <c r="D271" i="11"/>
  <c r="H142" i="11"/>
  <c r="J142" i="11" s="1"/>
  <c r="E142" i="11"/>
  <c r="D272" i="11" l="1"/>
  <c r="A273" i="11"/>
  <c r="B272" i="11"/>
  <c r="I142" i="11"/>
  <c r="C143" i="11" s="1"/>
  <c r="F142" i="11"/>
  <c r="G142" i="11" s="1"/>
  <c r="B273" i="11" l="1"/>
  <c r="A274" i="11"/>
  <c r="D273" i="11"/>
  <c r="H143" i="11"/>
  <c r="J143" i="11" s="1"/>
  <c r="E143" i="11"/>
  <c r="I143" i="11" l="1"/>
  <c r="C144" i="11" s="1"/>
  <c r="F143" i="11"/>
  <c r="G143" i="11" s="1"/>
  <c r="D274" i="11"/>
  <c r="B274" i="11"/>
  <c r="A275" i="11"/>
  <c r="H144" i="11" l="1"/>
  <c r="J144" i="11" s="1"/>
  <c r="E144" i="11"/>
  <c r="B275" i="11"/>
  <c r="A276" i="11"/>
  <c r="D275" i="11"/>
  <c r="D276" i="11" l="1"/>
  <c r="B276" i="11"/>
  <c r="A277" i="11"/>
  <c r="I144" i="11"/>
  <c r="C145" i="11" s="1"/>
  <c r="F144" i="11"/>
  <c r="G144" i="11" s="1"/>
  <c r="B277" i="11" l="1"/>
  <c r="D277" i="11"/>
  <c r="A278" i="11"/>
  <c r="E145" i="11"/>
  <c r="H145" i="11"/>
  <c r="J145" i="11" s="1"/>
  <c r="F145" i="11" l="1"/>
  <c r="G145" i="11" s="1"/>
  <c r="I145" i="11"/>
  <c r="C146" i="11" s="1"/>
  <c r="D278" i="11"/>
  <c r="B278" i="11"/>
  <c r="A279" i="11"/>
  <c r="B279" i="11" l="1"/>
  <c r="A280" i="11"/>
  <c r="D279" i="11"/>
  <c r="H146" i="11"/>
  <c r="J146" i="11" s="1"/>
  <c r="E146" i="11"/>
  <c r="I146" i="11" l="1"/>
  <c r="C147" i="11" s="1"/>
  <c r="F146" i="11"/>
  <c r="G146" i="11" s="1"/>
  <c r="D280" i="11"/>
  <c r="A281" i="11"/>
  <c r="B280" i="11"/>
  <c r="H147" i="11" l="1"/>
  <c r="J147" i="11" s="1"/>
  <c r="E147" i="11"/>
  <c r="B281" i="11"/>
  <c r="A282" i="11"/>
  <c r="D281" i="11"/>
  <c r="F147" i="11" l="1"/>
  <c r="G147" i="11" s="1"/>
  <c r="I147" i="11"/>
  <c r="C148" i="11" s="1"/>
  <c r="D282" i="11"/>
  <c r="B282" i="11"/>
  <c r="A283" i="11"/>
  <c r="B283" i="11" l="1"/>
  <c r="A284" i="11"/>
  <c r="D283" i="11"/>
  <c r="H148" i="11"/>
  <c r="J148" i="11" s="1"/>
  <c r="E148" i="11"/>
  <c r="I148" i="11" l="1"/>
  <c r="C149" i="11" s="1"/>
  <c r="F148" i="11"/>
  <c r="G148" i="11" s="1"/>
  <c r="D284" i="11"/>
  <c r="B284" i="11"/>
  <c r="A285" i="11"/>
  <c r="A286" i="11" l="1"/>
  <c r="B285" i="11"/>
  <c r="D285" i="11"/>
  <c r="H149" i="11"/>
  <c r="J149" i="11" s="1"/>
  <c r="E149" i="11"/>
  <c r="I149" i="11" l="1"/>
  <c r="C150" i="11" s="1"/>
  <c r="F149" i="11"/>
  <c r="G149" i="11" s="1"/>
  <c r="D286" i="11"/>
  <c r="A287" i="11"/>
  <c r="B286" i="11"/>
  <c r="H150" i="11" l="1"/>
  <c r="J150" i="11" s="1"/>
  <c r="E150" i="11"/>
  <c r="A288" i="11"/>
  <c r="B287" i="11"/>
  <c r="D287" i="11"/>
  <c r="I150" i="11" l="1"/>
  <c r="C151" i="11" s="1"/>
  <c r="F150" i="11"/>
  <c r="G150" i="11" s="1"/>
  <c r="D288" i="11"/>
  <c r="A289" i="11"/>
  <c r="B288" i="11"/>
  <c r="A290" i="11" l="1"/>
  <c r="B289" i="11"/>
  <c r="D289" i="11"/>
  <c r="H151" i="11"/>
  <c r="J151" i="11" s="1"/>
  <c r="E151" i="11"/>
  <c r="F151" i="11" l="1"/>
  <c r="G151" i="11" s="1"/>
  <c r="I151" i="11"/>
  <c r="C152" i="11" s="1"/>
  <c r="D290" i="11"/>
  <c r="A291" i="11"/>
  <c r="B290" i="11"/>
  <c r="A292" i="11" l="1"/>
  <c r="B291" i="11"/>
  <c r="D291" i="11"/>
  <c r="H152" i="11"/>
  <c r="J152" i="11" s="1"/>
  <c r="E152" i="11"/>
  <c r="F152" i="11" l="1"/>
  <c r="G152" i="11" s="1"/>
  <c r="I152" i="11"/>
  <c r="C153" i="11" s="1"/>
  <c r="D292" i="11"/>
  <c r="A293" i="11"/>
  <c r="B292" i="11"/>
  <c r="H153" i="11" l="1"/>
  <c r="J153" i="11" s="1"/>
  <c r="E153" i="11"/>
  <c r="A294" i="11"/>
  <c r="B293" i="11"/>
  <c r="D293" i="11"/>
  <c r="F153" i="11" l="1"/>
  <c r="G153" i="11" s="1"/>
  <c r="I153" i="11"/>
  <c r="C154" i="11" s="1"/>
  <c r="D294" i="11"/>
  <c r="A295" i="11"/>
  <c r="B294" i="11"/>
  <c r="A296" i="11" l="1"/>
  <c r="B295" i="11"/>
  <c r="D295" i="11"/>
  <c r="H154" i="11"/>
  <c r="J154" i="11" s="1"/>
  <c r="E154" i="11"/>
  <c r="F154" i="11" l="1"/>
  <c r="G154" i="11" s="1"/>
  <c r="I154" i="11"/>
  <c r="C155" i="11" s="1"/>
  <c r="D296" i="11"/>
  <c r="A297" i="11"/>
  <c r="B296" i="11"/>
  <c r="H155" i="11" l="1"/>
  <c r="J155" i="11" s="1"/>
  <c r="E155" i="11"/>
  <c r="A298" i="11"/>
  <c r="B297" i="11"/>
  <c r="D297" i="11"/>
  <c r="F155" i="11" l="1"/>
  <c r="G155" i="11" s="1"/>
  <c r="I155" i="11"/>
  <c r="C156" i="11" s="1"/>
  <c r="D298" i="11"/>
  <c r="A299" i="11"/>
  <c r="B298" i="11"/>
  <c r="A300" i="11" l="1"/>
  <c r="B299" i="11"/>
  <c r="D299" i="11"/>
  <c r="H156" i="11"/>
  <c r="J156" i="11" s="1"/>
  <c r="E156" i="11"/>
  <c r="D300" i="11" l="1"/>
  <c r="A301" i="11"/>
  <c r="B300" i="11"/>
  <c r="F156" i="11"/>
  <c r="G156" i="11" s="1"/>
  <c r="I156" i="11"/>
  <c r="C157" i="11" s="1"/>
  <c r="A302" i="11" l="1"/>
  <c r="B301" i="11"/>
  <c r="D301" i="11"/>
  <c r="H157" i="11"/>
  <c r="J157" i="11" s="1"/>
  <c r="E157" i="11"/>
  <c r="D302" i="11" l="1"/>
  <c r="A303" i="11"/>
  <c r="B302" i="11"/>
  <c r="F157" i="11"/>
  <c r="G157" i="11" s="1"/>
  <c r="I157" i="11"/>
  <c r="C158" i="11" s="1"/>
  <c r="A304" i="11" l="1"/>
  <c r="B303" i="11"/>
  <c r="D303" i="11"/>
  <c r="H158" i="11"/>
  <c r="J158" i="11" s="1"/>
  <c r="E158" i="11"/>
  <c r="D304" i="11" l="1"/>
  <c r="A305" i="11"/>
  <c r="B304" i="11"/>
  <c r="I158" i="11"/>
  <c r="C159" i="11" s="1"/>
  <c r="F158" i="11"/>
  <c r="G158" i="11" s="1"/>
  <c r="A306" i="11" l="1"/>
  <c r="B305" i="11"/>
  <c r="D305" i="11"/>
  <c r="H159" i="11"/>
  <c r="J159" i="11" s="1"/>
  <c r="E159" i="11"/>
  <c r="D306" i="11" l="1"/>
  <c r="A307" i="11"/>
  <c r="B306" i="11"/>
  <c r="F159" i="11"/>
  <c r="G159" i="11" s="1"/>
  <c r="I159" i="11"/>
  <c r="C160" i="11" s="1"/>
  <c r="H160" i="11" l="1"/>
  <c r="J160" i="11" s="1"/>
  <c r="E160" i="11"/>
  <c r="A308" i="11"/>
  <c r="B307" i="11"/>
  <c r="D307" i="11"/>
  <c r="D308" i="11" l="1"/>
  <c r="A309" i="11"/>
  <c r="B308" i="11"/>
  <c r="I160" i="11"/>
  <c r="C161" i="11" s="1"/>
  <c r="F160" i="11"/>
  <c r="G160" i="11" s="1"/>
  <c r="E161" i="11" l="1"/>
  <c r="H161" i="11"/>
  <c r="J161" i="11" s="1"/>
  <c r="A310" i="11"/>
  <c r="B309" i="11"/>
  <c r="D309" i="11"/>
  <c r="I161" i="11" l="1"/>
  <c r="C162" i="11" s="1"/>
  <c r="F161" i="11"/>
  <c r="G161" i="11" s="1"/>
  <c r="D310" i="11"/>
  <c r="A311" i="11"/>
  <c r="B310" i="11"/>
  <c r="A312" i="11" l="1"/>
  <c r="B311" i="11"/>
  <c r="D311" i="11"/>
  <c r="H162" i="11"/>
  <c r="J162" i="11" s="1"/>
  <c r="E162" i="11"/>
  <c r="D312" i="11" l="1"/>
  <c r="A313" i="11"/>
  <c r="B312" i="11"/>
  <c r="I162" i="11"/>
  <c r="C163" i="11" s="1"/>
  <c r="F162" i="11"/>
  <c r="G162" i="11" s="1"/>
  <c r="H163" i="11" l="1"/>
  <c r="J163" i="11" s="1"/>
  <c r="E163" i="11"/>
  <c r="A314" i="11"/>
  <c r="B313" i="11"/>
  <c r="D313" i="11"/>
  <c r="F163" i="11" l="1"/>
  <c r="G163" i="11" s="1"/>
  <c r="I163" i="11"/>
  <c r="C164" i="11" s="1"/>
  <c r="D314" i="11"/>
  <c r="A315" i="11"/>
  <c r="B314" i="11"/>
  <c r="A316" i="11" l="1"/>
  <c r="B315" i="11"/>
  <c r="D315" i="11"/>
  <c r="H164" i="11"/>
  <c r="J164" i="11" s="1"/>
  <c r="E164" i="11"/>
  <c r="D316" i="11" l="1"/>
  <c r="A317" i="11"/>
  <c r="B316" i="11"/>
  <c r="I164" i="11"/>
  <c r="C165" i="11" s="1"/>
  <c r="F164" i="11"/>
  <c r="G164" i="11" s="1"/>
  <c r="A318" i="11" l="1"/>
  <c r="B317" i="11"/>
  <c r="D317" i="11"/>
  <c r="H165" i="11"/>
  <c r="J165" i="11" s="1"/>
  <c r="E165" i="11"/>
  <c r="D318" i="11" l="1"/>
  <c r="A319" i="11"/>
  <c r="B318" i="11"/>
  <c r="F165" i="11"/>
  <c r="G165" i="11" s="1"/>
  <c r="I165" i="11"/>
  <c r="C166" i="11" s="1"/>
  <c r="A320" i="11" l="1"/>
  <c r="B319" i="11"/>
  <c r="D319" i="11"/>
  <c r="H166" i="11"/>
  <c r="J166" i="11" s="1"/>
  <c r="E166" i="11"/>
  <c r="D320" i="11" l="1"/>
  <c r="A321" i="11"/>
  <c r="B320" i="11"/>
  <c r="I166" i="11"/>
  <c r="C167" i="11" s="1"/>
  <c r="F166" i="11"/>
  <c r="G166" i="11" s="1"/>
  <c r="A322" i="11" l="1"/>
  <c r="B321" i="11"/>
  <c r="D321" i="11"/>
  <c r="H167" i="11"/>
  <c r="J167" i="11" s="1"/>
  <c r="E167" i="11"/>
  <c r="I167" i="11" l="1"/>
  <c r="C168" i="11" s="1"/>
  <c r="F167" i="11"/>
  <c r="G167" i="11" s="1"/>
  <c r="D322" i="11"/>
  <c r="A323" i="11"/>
  <c r="B322" i="11"/>
  <c r="H168" i="11" l="1"/>
  <c r="J168" i="11" s="1"/>
  <c r="E168" i="11"/>
  <c r="A324" i="11"/>
  <c r="B323" i="11"/>
  <c r="D323" i="11"/>
  <c r="F168" i="11" l="1"/>
  <c r="G168" i="11" s="1"/>
  <c r="I168" i="11"/>
  <c r="C169" i="11" s="1"/>
  <c r="D324" i="11"/>
  <c r="A325" i="11"/>
  <c r="B324" i="11"/>
  <c r="A326" i="11" l="1"/>
  <c r="B325" i="11"/>
  <c r="D325" i="11"/>
  <c r="H169" i="11"/>
  <c r="J169" i="11" s="1"/>
  <c r="E169" i="11"/>
  <c r="D326" i="11" l="1"/>
  <c r="A327" i="11"/>
  <c r="B326" i="11"/>
  <c r="F169" i="11"/>
  <c r="G169" i="11" s="1"/>
  <c r="I169" i="11"/>
  <c r="C170" i="11" s="1"/>
  <c r="A328" i="11" l="1"/>
  <c r="B327" i="11"/>
  <c r="D327" i="11"/>
  <c r="H170" i="11"/>
  <c r="J170" i="11" s="1"/>
  <c r="E170" i="11"/>
  <c r="D328" i="11" l="1"/>
  <c r="A329" i="11"/>
  <c r="B328" i="11"/>
  <c r="I170" i="11"/>
  <c r="C171" i="11" s="1"/>
  <c r="F170" i="11"/>
  <c r="G170" i="11" s="1"/>
  <c r="A330" i="11" l="1"/>
  <c r="B329" i="11"/>
  <c r="D329" i="11"/>
  <c r="H171" i="11"/>
  <c r="J171" i="11" s="1"/>
  <c r="E171" i="11"/>
  <c r="D330" i="11" l="1"/>
  <c r="A331" i="11"/>
  <c r="B330" i="11"/>
  <c r="I171" i="11"/>
  <c r="C172" i="11" s="1"/>
  <c r="F171" i="11"/>
  <c r="G171" i="11" s="1"/>
  <c r="H172" i="11" l="1"/>
  <c r="J172" i="11" s="1"/>
  <c r="E172" i="11"/>
  <c r="A332" i="11"/>
  <c r="B331" i="11"/>
  <c r="D331" i="11"/>
  <c r="F172" i="11" l="1"/>
  <c r="G172" i="11" s="1"/>
  <c r="I172" i="11"/>
  <c r="C173" i="11" s="1"/>
  <c r="D332" i="11"/>
  <c r="A333" i="11"/>
  <c r="B332" i="11"/>
  <c r="A334" i="11" l="1"/>
  <c r="B333" i="11"/>
  <c r="D333" i="11"/>
  <c r="H173" i="11"/>
  <c r="J173" i="11" s="1"/>
  <c r="E173" i="11"/>
  <c r="I173" i="11" l="1"/>
  <c r="C174" i="11" s="1"/>
  <c r="F173" i="11"/>
  <c r="G173" i="11" s="1"/>
  <c r="D334" i="11"/>
  <c r="A335" i="11"/>
  <c r="B334" i="11"/>
  <c r="A336" i="11" l="1"/>
  <c r="B335" i="11"/>
  <c r="D335" i="11"/>
  <c r="H174" i="11"/>
  <c r="J174" i="11" s="1"/>
  <c r="E174" i="11"/>
  <c r="B336" i="11" l="1"/>
  <c r="D336" i="11"/>
  <c r="A337" i="11"/>
  <c r="F174" i="11"/>
  <c r="G174" i="11" s="1"/>
  <c r="I174" i="11"/>
  <c r="C175" i="11" s="1"/>
  <c r="H175" i="11" l="1"/>
  <c r="J175" i="11" s="1"/>
  <c r="E175" i="11"/>
  <c r="D337" i="11"/>
  <c r="B337" i="11"/>
  <c r="A338" i="11"/>
  <c r="B338" i="11" l="1"/>
  <c r="D338" i="11"/>
  <c r="A339" i="11"/>
  <c r="I175" i="11"/>
  <c r="C176" i="11" s="1"/>
  <c r="F175" i="11"/>
  <c r="G175" i="11" s="1"/>
  <c r="D339" i="11" l="1"/>
  <c r="A340" i="11"/>
  <c r="B339" i="11"/>
  <c r="E176" i="11"/>
  <c r="H176" i="11"/>
  <c r="J176" i="11" s="1"/>
  <c r="I176" i="11" l="1"/>
  <c r="C177" i="11" s="1"/>
  <c r="F176" i="11"/>
  <c r="G176" i="11" s="1"/>
  <c r="B340" i="11"/>
  <c r="D340" i="11"/>
  <c r="A341" i="11"/>
  <c r="D341" i="11" l="1"/>
  <c r="A342" i="11"/>
  <c r="B341" i="11"/>
  <c r="H177" i="11"/>
  <c r="J177" i="11" s="1"/>
  <c r="E177" i="11"/>
  <c r="I177" i="11" l="1"/>
  <c r="C178" i="11" s="1"/>
  <c r="F177" i="11"/>
  <c r="G177" i="11" s="1"/>
  <c r="B342" i="11"/>
  <c r="D342" i="11"/>
  <c r="A343" i="11"/>
  <c r="D343" i="11" l="1"/>
  <c r="A344" i="11"/>
  <c r="B343" i="11"/>
  <c r="H178" i="11"/>
  <c r="J178" i="11" s="1"/>
  <c r="E178" i="11"/>
  <c r="F178" i="11" l="1"/>
  <c r="G178" i="11" s="1"/>
  <c r="I178" i="11"/>
  <c r="C179" i="11" s="1"/>
  <c r="B344" i="11"/>
  <c r="D344" i="11"/>
  <c r="A345" i="11"/>
  <c r="H179" i="11" l="1"/>
  <c r="J179" i="11" s="1"/>
  <c r="E179" i="11"/>
  <c r="D345" i="11"/>
  <c r="A346" i="11"/>
  <c r="B345" i="11"/>
  <c r="F179" i="11" l="1"/>
  <c r="G179" i="11" s="1"/>
  <c r="I179" i="11"/>
  <c r="C180" i="11" s="1"/>
  <c r="B346" i="11"/>
  <c r="D346" i="11"/>
  <c r="A347" i="11"/>
  <c r="H180" i="11" l="1"/>
  <c r="J180" i="11" s="1"/>
  <c r="E180" i="11"/>
  <c r="D347" i="11"/>
  <c r="A348" i="11"/>
  <c r="B347" i="11"/>
  <c r="B348" i="11" l="1"/>
  <c r="D348" i="11"/>
  <c r="A349" i="11"/>
  <c r="F180" i="11"/>
  <c r="G180" i="11" s="1"/>
  <c r="I180" i="11"/>
  <c r="C181" i="11" s="1"/>
  <c r="D349" i="11" l="1"/>
  <c r="A350" i="11"/>
  <c r="B349" i="11"/>
  <c r="H181" i="11"/>
  <c r="J181" i="11" s="1"/>
  <c r="E181" i="11"/>
  <c r="I181" i="11" l="1"/>
  <c r="C182" i="11" s="1"/>
  <c r="F181" i="11"/>
  <c r="G181" i="11" s="1"/>
  <c r="B350" i="11"/>
  <c r="D350" i="11"/>
  <c r="A351" i="11"/>
  <c r="E182" i="11" l="1"/>
  <c r="H182" i="11"/>
  <c r="J182" i="11" s="1"/>
  <c r="D351" i="11"/>
  <c r="A352" i="11"/>
  <c r="B351" i="11"/>
  <c r="B352" i="11" l="1"/>
  <c r="D352" i="11"/>
  <c r="A353" i="11"/>
  <c r="F182" i="11"/>
  <c r="G182" i="11" s="1"/>
  <c r="I182" i="11"/>
  <c r="C183" i="11" s="1"/>
  <c r="D353" i="11" l="1"/>
  <c r="A354" i="11"/>
  <c r="B353" i="11"/>
  <c r="H183" i="11"/>
  <c r="J183" i="11" s="1"/>
  <c r="E183" i="11"/>
  <c r="B354" i="11" l="1"/>
  <c r="D354" i="11"/>
  <c r="A355" i="11"/>
  <c r="I183" i="11"/>
  <c r="C184" i="11" s="1"/>
  <c r="F183" i="11"/>
  <c r="G183" i="11" s="1"/>
  <c r="D355" i="11" l="1"/>
  <c r="A356" i="11"/>
  <c r="B355" i="11"/>
  <c r="H184" i="11"/>
  <c r="J184" i="11" s="1"/>
  <c r="E184" i="11"/>
  <c r="B356" i="11" l="1"/>
  <c r="D356" i="11"/>
  <c r="A357" i="11"/>
  <c r="F184" i="11"/>
  <c r="G184" i="11" s="1"/>
  <c r="I184" i="11"/>
  <c r="C185" i="11" s="1"/>
  <c r="D357" i="11" l="1"/>
  <c r="A358" i="11"/>
  <c r="B357" i="11"/>
  <c r="E185" i="11"/>
  <c r="H185" i="11"/>
  <c r="J185" i="11" s="1"/>
  <c r="I185" i="11" l="1"/>
  <c r="C186" i="11" s="1"/>
  <c r="F185" i="11"/>
  <c r="G185" i="11" s="1"/>
  <c r="B358" i="11"/>
  <c r="D358" i="11"/>
  <c r="A359" i="11"/>
  <c r="D359" i="11" l="1"/>
  <c r="A360" i="11"/>
  <c r="B359" i="11"/>
  <c r="H186" i="11"/>
  <c r="J186" i="11" s="1"/>
  <c r="E186" i="11"/>
  <c r="F186" i="11" l="1"/>
  <c r="G186" i="11" s="1"/>
  <c r="I186" i="11"/>
  <c r="C187" i="11" s="1"/>
  <c r="B360" i="11"/>
  <c r="D360" i="11"/>
  <c r="A361" i="11"/>
  <c r="H187" i="11" l="1"/>
  <c r="J187" i="11" s="1"/>
  <c r="E187" i="11"/>
  <c r="D361" i="11"/>
  <c r="A362" i="11"/>
  <c r="B361" i="11"/>
  <c r="I187" i="11" l="1"/>
  <c r="C188" i="11" s="1"/>
  <c r="F187" i="11"/>
  <c r="G187" i="11" s="1"/>
  <c r="B362" i="11"/>
  <c r="D362" i="11"/>
  <c r="A363" i="11"/>
  <c r="D363" i="11" l="1"/>
  <c r="A364" i="11"/>
  <c r="B363" i="11"/>
  <c r="H188" i="11"/>
  <c r="J188" i="11" s="1"/>
  <c r="E188" i="11"/>
  <c r="I188" i="11" l="1"/>
  <c r="C189" i="11" s="1"/>
  <c r="F188" i="11"/>
  <c r="G188" i="11" s="1"/>
  <c r="B364" i="11"/>
  <c r="D364" i="11"/>
  <c r="A365" i="11"/>
  <c r="D365" i="11" l="1"/>
  <c r="A366" i="11"/>
  <c r="B365" i="11"/>
  <c r="H189" i="11"/>
  <c r="J189" i="11" s="1"/>
  <c r="E189" i="11"/>
  <c r="I189" i="11" l="1"/>
  <c r="C190" i="11" s="1"/>
  <c r="F189" i="11"/>
  <c r="G189" i="11" s="1"/>
  <c r="B366" i="11"/>
  <c r="D366" i="11"/>
  <c r="A367" i="11"/>
  <c r="D367" i="11" l="1"/>
  <c r="A368" i="11"/>
  <c r="B367" i="11"/>
  <c r="H190" i="11"/>
  <c r="J190" i="11" s="1"/>
  <c r="E190" i="11"/>
  <c r="B368" i="11" l="1"/>
  <c r="D368" i="11"/>
  <c r="A369" i="11"/>
  <c r="F190" i="11"/>
  <c r="G190" i="11" s="1"/>
  <c r="I190" i="11"/>
  <c r="C191" i="11" s="1"/>
  <c r="D369" i="11" l="1"/>
  <c r="A370" i="11"/>
  <c r="B369" i="11"/>
  <c r="H191" i="11"/>
  <c r="J191" i="11" s="1"/>
  <c r="E191" i="11"/>
  <c r="B370" i="11" l="1"/>
  <c r="D370" i="11"/>
  <c r="A371" i="11"/>
  <c r="I191" i="11"/>
  <c r="C192" i="11" s="1"/>
  <c r="F191" i="11"/>
  <c r="G191" i="11" s="1"/>
  <c r="H192" i="11" l="1"/>
  <c r="J192" i="11" s="1"/>
  <c r="E192" i="11"/>
  <c r="D371" i="11"/>
  <c r="A372" i="11"/>
  <c r="B371" i="11"/>
  <c r="I192" i="11" l="1"/>
  <c r="C193" i="11" s="1"/>
  <c r="F192" i="11"/>
  <c r="G192" i="11" s="1"/>
  <c r="B372" i="11"/>
  <c r="D372" i="11"/>
  <c r="A373" i="11"/>
  <c r="H193" i="11" l="1"/>
  <c r="J193" i="11" s="1"/>
  <c r="E193" i="11"/>
  <c r="D373" i="11"/>
  <c r="A374" i="11"/>
  <c r="B373" i="11"/>
  <c r="I193" i="11" l="1"/>
  <c r="C194" i="11" s="1"/>
  <c r="F193" i="11"/>
  <c r="G193" i="11" s="1"/>
  <c r="B374" i="11"/>
  <c r="D374" i="11"/>
  <c r="A375" i="11"/>
  <c r="D375" i="11" l="1"/>
  <c r="A376" i="11"/>
  <c r="B375" i="11"/>
  <c r="H194" i="11"/>
  <c r="J194" i="11" s="1"/>
  <c r="E194" i="11"/>
  <c r="I194" i="11" l="1"/>
  <c r="C195" i="11" s="1"/>
  <c r="F194" i="11"/>
  <c r="G194" i="11" s="1"/>
  <c r="B376" i="11"/>
  <c r="D376" i="11"/>
  <c r="A377" i="11"/>
  <c r="D377" i="11" l="1"/>
  <c r="A378" i="11"/>
  <c r="B377" i="11"/>
  <c r="H195" i="11"/>
  <c r="J195" i="11" s="1"/>
  <c r="E195" i="11"/>
  <c r="I195" i="11" l="1"/>
  <c r="C196" i="11" s="1"/>
  <c r="F195" i="11"/>
  <c r="G195" i="11" s="1"/>
  <c r="B378" i="11"/>
  <c r="D378" i="11"/>
  <c r="A379" i="11"/>
  <c r="D379" i="11" l="1"/>
  <c r="A380" i="11"/>
  <c r="B379" i="11"/>
  <c r="H196" i="11"/>
  <c r="J196" i="11" s="1"/>
  <c r="E196" i="11"/>
  <c r="A381" i="11" l="1"/>
  <c r="B380" i="11"/>
  <c r="D380" i="11"/>
  <c r="I196" i="11"/>
  <c r="C197" i="11" s="1"/>
  <c r="F196" i="11"/>
  <c r="G196" i="11" s="1"/>
  <c r="H197" i="11" l="1"/>
  <c r="J197" i="11" s="1"/>
  <c r="E197" i="11"/>
  <c r="B381" i="11"/>
  <c r="A382" i="11"/>
  <c r="D381" i="11"/>
  <c r="I197" i="11" l="1"/>
  <c r="C198" i="11" s="1"/>
  <c r="F197" i="11"/>
  <c r="G197" i="11" s="1"/>
  <c r="D382" i="11"/>
  <c r="B382" i="11"/>
  <c r="A383" i="11"/>
  <c r="H198" i="11" l="1"/>
  <c r="J198" i="11" s="1"/>
  <c r="E198" i="11"/>
  <c r="B383" i="11"/>
  <c r="A384" i="11"/>
  <c r="D383" i="11"/>
  <c r="D384" i="11" l="1"/>
  <c r="B384" i="11"/>
  <c r="A385" i="11"/>
  <c r="F198" i="11"/>
  <c r="G198" i="11" s="1"/>
  <c r="I198" i="11"/>
  <c r="C199" i="11" s="1"/>
  <c r="H199" i="11" l="1"/>
  <c r="J199" i="11" s="1"/>
  <c r="E199" i="11"/>
  <c r="B385" i="11"/>
  <c r="D385" i="11"/>
  <c r="A386" i="11"/>
  <c r="D386" i="11" l="1"/>
  <c r="B386" i="11"/>
  <c r="A387" i="11"/>
  <c r="I199" i="11"/>
  <c r="C200" i="11" s="1"/>
  <c r="F199" i="11"/>
  <c r="G199" i="11" s="1"/>
  <c r="B387" i="11" l="1"/>
  <c r="A388" i="11"/>
  <c r="D387" i="11"/>
  <c r="H200" i="11"/>
  <c r="J200" i="11" s="1"/>
  <c r="E200" i="11"/>
  <c r="F200" i="11" l="1"/>
  <c r="G200" i="11" s="1"/>
  <c r="I200" i="11"/>
  <c r="C201" i="11" s="1"/>
  <c r="D388" i="11"/>
  <c r="A389" i="11"/>
  <c r="B388" i="11"/>
  <c r="A390" i="11" l="1"/>
  <c r="B389" i="11"/>
  <c r="D389" i="11"/>
  <c r="H201" i="11"/>
  <c r="J201" i="11" s="1"/>
  <c r="E201" i="11"/>
  <c r="D390" i="11" l="1"/>
  <c r="A391" i="11"/>
  <c r="B390" i="11"/>
  <c r="I201" i="11"/>
  <c r="C202" i="11" s="1"/>
  <c r="F201" i="11"/>
  <c r="G201" i="11" s="1"/>
  <c r="H202" i="11" l="1"/>
  <c r="J202" i="11" s="1"/>
  <c r="E202" i="11"/>
  <c r="A392" i="11"/>
  <c r="B391" i="11"/>
  <c r="D391" i="11"/>
  <c r="I202" i="11" l="1"/>
  <c r="C203" i="11" s="1"/>
  <c r="F202" i="11"/>
  <c r="G202" i="11" s="1"/>
  <c r="D392" i="11"/>
  <c r="A393" i="11"/>
  <c r="B392" i="11"/>
  <c r="H203" i="11" l="1"/>
  <c r="J203" i="11" s="1"/>
  <c r="E203" i="11"/>
  <c r="A394" i="11"/>
  <c r="B393" i="11"/>
  <c r="D393" i="11"/>
  <c r="I203" i="11" l="1"/>
  <c r="C204" i="11" s="1"/>
  <c r="F203" i="11"/>
  <c r="G203" i="11" s="1"/>
  <c r="D394" i="11"/>
  <c r="A395" i="11"/>
  <c r="B394" i="11"/>
  <c r="H204" i="11" l="1"/>
  <c r="J204" i="11" s="1"/>
  <c r="E204" i="11"/>
  <c r="A396" i="11"/>
  <c r="B395" i="11"/>
  <c r="D395" i="11"/>
  <c r="I204" i="11" l="1"/>
  <c r="C205" i="11" s="1"/>
  <c r="F204" i="11"/>
  <c r="G204" i="11" s="1"/>
  <c r="D396" i="11"/>
  <c r="A397" i="11"/>
  <c r="B396" i="11"/>
  <c r="H205" i="11" l="1"/>
  <c r="J205" i="11" s="1"/>
  <c r="E205" i="11"/>
  <c r="A398" i="11"/>
  <c r="B397" i="11"/>
  <c r="D397" i="11"/>
  <c r="D398" i="11" l="1"/>
  <c r="A399" i="11"/>
  <c r="B398" i="11"/>
  <c r="I205" i="11"/>
  <c r="C206" i="11" s="1"/>
  <c r="F205" i="11"/>
  <c r="G205" i="11" s="1"/>
  <c r="A400" i="11" l="1"/>
  <c r="B399" i="11"/>
  <c r="D399" i="11"/>
  <c r="H206" i="11"/>
  <c r="J206" i="11" s="1"/>
  <c r="E206" i="11"/>
  <c r="D400" i="11" l="1"/>
  <c r="A401" i="11"/>
  <c r="B400" i="11"/>
  <c r="F206" i="11"/>
  <c r="G206" i="11" s="1"/>
  <c r="I206" i="11"/>
  <c r="C207" i="11" s="1"/>
  <c r="H207" i="11" l="1"/>
  <c r="J207" i="11" s="1"/>
  <c r="E207" i="11"/>
  <c r="A402" i="11"/>
  <c r="B401" i="11"/>
  <c r="D401" i="11"/>
  <c r="D402" i="11" l="1"/>
  <c r="A403" i="11"/>
  <c r="B402" i="11"/>
  <c r="I207" i="11"/>
  <c r="C208" i="11" s="1"/>
  <c r="F207" i="11"/>
  <c r="G207" i="11" s="1"/>
  <c r="H208" i="11" l="1"/>
  <c r="J208" i="11" s="1"/>
  <c r="E208" i="11"/>
  <c r="A404" i="11"/>
  <c r="B403" i="11"/>
  <c r="D403" i="11"/>
  <c r="D404" i="11" l="1"/>
  <c r="A405" i="11"/>
  <c r="B404" i="11"/>
  <c r="I208" i="11"/>
  <c r="C209" i="11" s="1"/>
  <c r="F208" i="11"/>
  <c r="G208" i="11" s="1"/>
  <c r="H209" i="11" l="1"/>
  <c r="J209" i="11" s="1"/>
  <c r="E209" i="11"/>
  <c r="A406" i="11"/>
  <c r="B405" i="11"/>
  <c r="D405" i="11"/>
  <c r="F209" i="11" l="1"/>
  <c r="G209" i="11" s="1"/>
  <c r="I209" i="11"/>
  <c r="C210" i="11" s="1"/>
  <c r="D406" i="11"/>
  <c r="A407" i="11"/>
  <c r="B406" i="11"/>
  <c r="A408" i="11" l="1"/>
  <c r="B407" i="11"/>
  <c r="D407" i="11"/>
  <c r="H210" i="11"/>
  <c r="J210" i="11" s="1"/>
  <c r="E210" i="11"/>
  <c r="D408" i="11" l="1"/>
  <c r="A409" i="11"/>
  <c r="B408" i="11"/>
  <c r="I210" i="11"/>
  <c r="C211" i="11" s="1"/>
  <c r="F210" i="11"/>
  <c r="G210" i="11" s="1"/>
  <c r="A410" i="11" l="1"/>
  <c r="B409" i="11"/>
  <c r="D409" i="11"/>
  <c r="H211" i="11"/>
  <c r="J211" i="11" s="1"/>
  <c r="E211" i="11"/>
  <c r="I211" i="11" l="1"/>
  <c r="C212" i="11" s="1"/>
  <c r="F211" i="11"/>
  <c r="G211" i="11" s="1"/>
  <c r="D410" i="11"/>
  <c r="A411" i="11"/>
  <c r="B410" i="11"/>
  <c r="H212" i="11" l="1"/>
  <c r="J212" i="11" s="1"/>
  <c r="E212" i="11"/>
  <c r="A412" i="11"/>
  <c r="B411" i="11"/>
  <c r="D411" i="11"/>
  <c r="D412" i="11" l="1"/>
  <c r="A413" i="11"/>
  <c r="B412" i="11"/>
  <c r="F212" i="11"/>
  <c r="G212" i="11" s="1"/>
  <c r="I212" i="11"/>
  <c r="C213" i="11" s="1"/>
  <c r="A414" i="11" l="1"/>
  <c r="B413" i="11"/>
  <c r="D413" i="11"/>
  <c r="H213" i="11"/>
  <c r="J213" i="11" s="1"/>
  <c r="E213" i="11"/>
  <c r="I213" i="11" l="1"/>
  <c r="C214" i="11" s="1"/>
  <c r="F213" i="11"/>
  <c r="G213" i="11" s="1"/>
  <c r="D414" i="11"/>
  <c r="A415" i="11"/>
  <c r="B414" i="11"/>
  <c r="A416" i="11" l="1"/>
  <c r="B415" i="11"/>
  <c r="D415" i="11"/>
  <c r="E214" i="11"/>
  <c r="H214" i="11"/>
  <c r="J214" i="11" s="1"/>
  <c r="F214" i="11" l="1"/>
  <c r="G214" i="11" s="1"/>
  <c r="I214" i="11"/>
  <c r="C215" i="11" s="1"/>
  <c r="D416" i="11"/>
  <c r="A417" i="11"/>
  <c r="B416" i="11"/>
  <c r="H215" i="11" l="1"/>
  <c r="J215" i="11" s="1"/>
  <c r="E215" i="11"/>
  <c r="A418" i="11"/>
  <c r="B417" i="11"/>
  <c r="D417" i="11"/>
  <c r="D418" i="11" l="1"/>
  <c r="A419" i="11"/>
  <c r="B418" i="11"/>
  <c r="I215" i="11"/>
  <c r="C216" i="11" s="1"/>
  <c r="F215" i="11"/>
  <c r="G215" i="11" s="1"/>
  <c r="A420" i="11" l="1"/>
  <c r="B419" i="11"/>
  <c r="D419" i="11"/>
  <c r="E216" i="11"/>
  <c r="H216" i="11"/>
  <c r="J216" i="11" s="1"/>
  <c r="F216" i="11" l="1"/>
  <c r="G216" i="11" s="1"/>
  <c r="I216" i="11"/>
  <c r="C217" i="11" s="1"/>
  <c r="D420" i="11"/>
  <c r="A421" i="11"/>
  <c r="B420" i="11"/>
  <c r="H217" i="11" l="1"/>
  <c r="J217" i="11" s="1"/>
  <c r="E217" i="11"/>
  <c r="A422" i="11"/>
  <c r="B421" i="11"/>
  <c r="D421" i="11"/>
  <c r="D422" i="11" l="1"/>
  <c r="A423" i="11"/>
  <c r="B422" i="11"/>
  <c r="I217" i="11"/>
  <c r="C218" i="11" s="1"/>
  <c r="F217" i="11"/>
  <c r="G217" i="11" s="1"/>
  <c r="E218" i="11" l="1"/>
  <c r="H218" i="11"/>
  <c r="J218" i="11" s="1"/>
  <c r="A424" i="11"/>
  <c r="B423" i="11"/>
  <c r="D423" i="11"/>
  <c r="D424" i="11" l="1"/>
  <c r="A425" i="11"/>
  <c r="B424" i="11"/>
  <c r="F218" i="11"/>
  <c r="G218" i="11" s="1"/>
  <c r="I218" i="11"/>
  <c r="C219" i="11" s="1"/>
  <c r="H219" i="11" l="1"/>
  <c r="J219" i="11" s="1"/>
  <c r="E219" i="11"/>
  <c r="A426" i="11"/>
  <c r="B425" i="11"/>
  <c r="D425" i="11"/>
  <c r="I219" i="11" l="1"/>
  <c r="C220" i="11" s="1"/>
  <c r="F219" i="11"/>
  <c r="G219" i="11" s="1"/>
  <c r="D426" i="11"/>
  <c r="A427" i="11"/>
  <c r="B426" i="11"/>
  <c r="A428" i="11" l="1"/>
  <c r="B427" i="11"/>
  <c r="D427" i="11"/>
  <c r="E220" i="11"/>
  <c r="H220" i="11"/>
  <c r="J220" i="11" s="1"/>
  <c r="F220" i="11" l="1"/>
  <c r="G220" i="11" s="1"/>
  <c r="I220" i="11"/>
  <c r="C221" i="11" s="1"/>
  <c r="D428" i="11"/>
  <c r="A429" i="11"/>
  <c r="B428" i="11"/>
  <c r="A430" i="11" l="1"/>
  <c r="B429" i="11"/>
  <c r="D429" i="11"/>
  <c r="H221" i="11"/>
  <c r="J221" i="11" s="1"/>
  <c r="E221" i="11"/>
  <c r="D430" i="11" l="1"/>
  <c r="A431" i="11"/>
  <c r="B430" i="11"/>
  <c r="I221" i="11"/>
  <c r="C222" i="11" s="1"/>
  <c r="F221" i="11"/>
  <c r="G221" i="11" s="1"/>
  <c r="A432" i="11" l="1"/>
  <c r="B431" i="11"/>
  <c r="D431" i="11"/>
  <c r="H222" i="11"/>
  <c r="J222" i="11" s="1"/>
  <c r="E222" i="11"/>
  <c r="D432" i="11" l="1"/>
  <c r="A433" i="11"/>
  <c r="B432" i="11"/>
  <c r="F222" i="11"/>
  <c r="G222" i="11" s="1"/>
  <c r="I222" i="11"/>
  <c r="C223" i="11" s="1"/>
  <c r="H223" i="11" l="1"/>
  <c r="J223" i="11" s="1"/>
  <c r="E223" i="11"/>
  <c r="A434" i="11"/>
  <c r="B433" i="11"/>
  <c r="D433" i="11"/>
  <c r="F223" i="11" l="1"/>
  <c r="G223" i="11" s="1"/>
  <c r="I223" i="11"/>
  <c r="C224" i="11" s="1"/>
  <c r="D434" i="11"/>
  <c r="A435" i="11"/>
  <c r="B434" i="11"/>
  <c r="A436" i="11" l="1"/>
  <c r="B435" i="11"/>
  <c r="D435" i="11"/>
  <c r="H224" i="11"/>
  <c r="J224" i="11" s="1"/>
  <c r="E224" i="11"/>
  <c r="F224" i="11" l="1"/>
  <c r="G224" i="11" s="1"/>
  <c r="I224" i="11"/>
  <c r="C225" i="11" s="1"/>
  <c r="D436" i="11"/>
  <c r="A437" i="11"/>
  <c r="B436" i="11"/>
  <c r="H225" i="11" l="1"/>
  <c r="J225" i="11" s="1"/>
  <c r="E225" i="11"/>
  <c r="B437" i="11"/>
  <c r="D437" i="11"/>
  <c r="A438" i="11"/>
  <c r="D438" i="11" l="1"/>
  <c r="B438" i="11"/>
  <c r="A439" i="11"/>
  <c r="I225" i="11"/>
  <c r="C226" i="11" s="1"/>
  <c r="F225" i="11"/>
  <c r="G225" i="11" s="1"/>
  <c r="H226" i="11" l="1"/>
  <c r="J226" i="11" s="1"/>
  <c r="E226" i="11"/>
  <c r="B439" i="11"/>
  <c r="D439" i="11"/>
  <c r="A440" i="11"/>
  <c r="F226" i="11" l="1"/>
  <c r="G226" i="11" s="1"/>
  <c r="I226" i="11"/>
  <c r="C227" i="11" s="1"/>
  <c r="D440" i="11"/>
  <c r="B440" i="11"/>
  <c r="A441" i="11"/>
  <c r="B441" i="11" l="1"/>
  <c r="D441" i="11"/>
  <c r="A442" i="11"/>
  <c r="E227" i="11"/>
  <c r="H227" i="11"/>
  <c r="J227" i="11" s="1"/>
  <c r="D442" i="11" l="1"/>
  <c r="B442" i="11"/>
  <c r="A443" i="11"/>
  <c r="F227" i="11"/>
  <c r="G227" i="11" s="1"/>
  <c r="I227" i="11"/>
  <c r="C228" i="11" s="1"/>
  <c r="H228" i="11" l="1"/>
  <c r="J228" i="11" s="1"/>
  <c r="E228" i="11"/>
  <c r="B443" i="11"/>
  <c r="D443" i="11"/>
  <c r="A444" i="11"/>
  <c r="D444" i="11" l="1"/>
  <c r="A445" i="11"/>
  <c r="B444" i="11"/>
  <c r="F228" i="11"/>
  <c r="G228" i="11" s="1"/>
  <c r="I228" i="11"/>
  <c r="C229" i="11" s="1"/>
  <c r="B445" i="11" l="1"/>
  <c r="D445" i="11"/>
  <c r="A446" i="11"/>
  <c r="H229" i="11"/>
  <c r="J229" i="11" s="1"/>
  <c r="E229" i="11"/>
  <c r="D446" i="11" l="1"/>
  <c r="A447" i="11"/>
  <c r="B446" i="11"/>
  <c r="I229" i="11"/>
  <c r="C230" i="11" s="1"/>
  <c r="F229" i="11"/>
  <c r="G229" i="11" s="1"/>
  <c r="E230" i="11" l="1"/>
  <c r="H230" i="11"/>
  <c r="J230" i="11" s="1"/>
  <c r="B447" i="11"/>
  <c r="D447" i="11"/>
  <c r="A448" i="11"/>
  <c r="D448" i="11" l="1"/>
  <c r="A449" i="11"/>
  <c r="B448" i="11"/>
  <c r="F230" i="11"/>
  <c r="G230" i="11" s="1"/>
  <c r="I230" i="11"/>
  <c r="C231" i="11" s="1"/>
  <c r="H231" i="11" l="1"/>
  <c r="J231" i="11" s="1"/>
  <c r="E231" i="11"/>
  <c r="B449" i="11"/>
  <c r="D449" i="11"/>
  <c r="A450" i="11"/>
  <c r="D450" i="11" l="1"/>
  <c r="A451" i="11"/>
  <c r="B450" i="11"/>
  <c r="I231" i="11"/>
  <c r="C232" i="11" s="1"/>
  <c r="F231" i="11"/>
  <c r="G231" i="11" s="1"/>
  <c r="B451" i="11" l="1"/>
  <c r="D451" i="11"/>
  <c r="A452" i="11"/>
  <c r="H232" i="11"/>
  <c r="J232" i="11" s="1"/>
  <c r="E232" i="11"/>
  <c r="F232" i="11" l="1"/>
  <c r="G232" i="11" s="1"/>
  <c r="I232" i="11"/>
  <c r="C233" i="11" s="1"/>
  <c r="D452" i="11"/>
  <c r="A453" i="11"/>
  <c r="B452" i="11"/>
  <c r="B453" i="11" l="1"/>
  <c r="D453" i="11"/>
  <c r="A454" i="11"/>
  <c r="H233" i="11"/>
  <c r="J233" i="11" s="1"/>
  <c r="E233" i="11"/>
  <c r="D454" i="11" l="1"/>
  <c r="A455" i="11"/>
  <c r="B454" i="11"/>
  <c r="I233" i="11"/>
  <c r="C234" i="11" s="1"/>
  <c r="F233" i="11"/>
  <c r="G233" i="11" s="1"/>
  <c r="A456" i="11" l="1"/>
  <c r="B455" i="11"/>
  <c r="D455" i="11"/>
  <c r="H234" i="11"/>
  <c r="J234" i="11" s="1"/>
  <c r="E234" i="11"/>
  <c r="B456" i="11" l="1"/>
  <c r="A457" i="11"/>
  <c r="D456" i="11"/>
  <c r="I234" i="11"/>
  <c r="C235" i="11" s="1"/>
  <c r="F234" i="11"/>
  <c r="G234" i="11" s="1"/>
  <c r="D457" i="11" l="1"/>
  <c r="B457" i="11"/>
  <c r="A458" i="11"/>
  <c r="H235" i="11"/>
  <c r="J235" i="11" s="1"/>
  <c r="E235" i="11"/>
  <c r="I235" i="11" l="1"/>
  <c r="C236" i="11" s="1"/>
  <c r="F235" i="11"/>
  <c r="G235" i="11" s="1"/>
  <c r="B458" i="11"/>
  <c r="A459" i="11"/>
  <c r="D458" i="11"/>
  <c r="D459" i="11" l="1"/>
  <c r="B459" i="11"/>
  <c r="A460" i="11"/>
  <c r="E236" i="11"/>
  <c r="H236" i="11"/>
  <c r="J236" i="11" s="1"/>
  <c r="B460" i="11" l="1"/>
  <c r="D460" i="11"/>
  <c r="A461" i="11"/>
  <c r="F236" i="11"/>
  <c r="G236" i="11" s="1"/>
  <c r="I236" i="11"/>
  <c r="C237" i="11" s="1"/>
  <c r="H237" i="11" l="1"/>
  <c r="J237" i="11" s="1"/>
  <c r="E237" i="11"/>
  <c r="D461" i="11"/>
  <c r="B461" i="11"/>
  <c r="A462" i="11"/>
  <c r="B462" i="11" l="1"/>
  <c r="A463" i="11"/>
  <c r="D462" i="11"/>
  <c r="I237" i="11"/>
  <c r="C238" i="11" s="1"/>
  <c r="F237" i="11"/>
  <c r="G237" i="11" s="1"/>
  <c r="D463" i="11" l="1"/>
  <c r="A464" i="11"/>
  <c r="B463" i="11"/>
  <c r="H238" i="11"/>
  <c r="J238" i="11" s="1"/>
  <c r="E238" i="11"/>
  <c r="F238" i="11" l="1"/>
  <c r="G238" i="11" s="1"/>
  <c r="I238" i="11"/>
  <c r="C239" i="11" s="1"/>
  <c r="B464" i="11"/>
  <c r="A465" i="11"/>
  <c r="D464" i="11"/>
  <c r="E239" i="11" l="1"/>
  <c r="H239" i="11"/>
  <c r="J239" i="11" s="1"/>
  <c r="D465" i="11"/>
  <c r="A466" i="11"/>
  <c r="B465" i="11"/>
  <c r="I239" i="11" l="1"/>
  <c r="C240" i="11" s="1"/>
  <c r="F239" i="11"/>
  <c r="G239" i="11" s="1"/>
  <c r="B466" i="11"/>
  <c r="D466" i="11"/>
  <c r="A467" i="11"/>
  <c r="D467" i="11" l="1"/>
  <c r="A468" i="11"/>
  <c r="B467" i="11"/>
  <c r="H240" i="11"/>
  <c r="J240" i="11" s="1"/>
  <c r="E240" i="11"/>
  <c r="F240" i="11" l="1"/>
  <c r="G240" i="11" s="1"/>
  <c r="I240" i="11"/>
  <c r="C241" i="11" s="1"/>
  <c r="B468" i="11"/>
  <c r="A469" i="11"/>
  <c r="D468" i="11"/>
  <c r="E241" i="11" l="1"/>
  <c r="H241" i="11"/>
  <c r="J241" i="11" s="1"/>
  <c r="D469" i="11"/>
  <c r="A470" i="11"/>
  <c r="B469" i="11"/>
  <c r="B470" i="11" l="1"/>
  <c r="A471" i="11"/>
  <c r="D470" i="11"/>
  <c r="I241" i="11"/>
  <c r="C242" i="11" s="1"/>
  <c r="F241" i="11"/>
  <c r="G241" i="11" s="1"/>
  <c r="H242" i="11" l="1"/>
  <c r="J242" i="11" s="1"/>
  <c r="E242" i="11"/>
  <c r="D471" i="11"/>
  <c r="B471" i="11"/>
  <c r="A472" i="11"/>
  <c r="B472" i="11" l="1"/>
  <c r="A473" i="11"/>
  <c r="D472" i="11"/>
  <c r="F242" i="11"/>
  <c r="G242" i="11" s="1"/>
  <c r="I242" i="11"/>
  <c r="C243" i="11" s="1"/>
  <c r="D473" i="11" l="1"/>
  <c r="A474" i="11"/>
  <c r="B473" i="11"/>
  <c r="H243" i="11"/>
  <c r="J243" i="11" s="1"/>
  <c r="E243" i="11"/>
  <c r="I243" i="11" l="1"/>
  <c r="C244" i="11" s="1"/>
  <c r="F243" i="11"/>
  <c r="G243" i="11" s="1"/>
  <c r="B474" i="11"/>
  <c r="D474" i="11"/>
  <c r="A475" i="11"/>
  <c r="D475" i="11" l="1"/>
  <c r="A476" i="11"/>
  <c r="B475" i="11"/>
  <c r="H244" i="11"/>
  <c r="J244" i="11" s="1"/>
  <c r="E244" i="11"/>
  <c r="I244" i="11" l="1"/>
  <c r="C245" i="11" s="1"/>
  <c r="F244" i="11"/>
  <c r="G244" i="11" s="1"/>
  <c r="B476" i="11"/>
  <c r="A477" i="11"/>
  <c r="D476" i="11"/>
  <c r="D477" i="11" l="1"/>
  <c r="A478" i="11"/>
  <c r="B477" i="11"/>
  <c r="H245" i="11"/>
  <c r="J245" i="11" s="1"/>
  <c r="E245" i="11"/>
  <c r="B478" i="11" l="1"/>
  <c r="A479" i="11"/>
  <c r="D478" i="11"/>
  <c r="I245" i="11"/>
  <c r="C246" i="11" s="1"/>
  <c r="F245" i="11"/>
  <c r="G245" i="11" s="1"/>
  <c r="H246" i="11" l="1"/>
  <c r="J246" i="11" s="1"/>
  <c r="E246" i="11"/>
  <c r="D479" i="11"/>
  <c r="B479" i="11"/>
  <c r="A480" i="11"/>
  <c r="B480" i="11" l="1"/>
  <c r="D480" i="11"/>
  <c r="A481" i="11"/>
  <c r="F246" i="11"/>
  <c r="G246" i="11" s="1"/>
  <c r="I246" i="11"/>
  <c r="C247" i="11" s="1"/>
  <c r="H247" i="11" l="1"/>
  <c r="J247" i="11" s="1"/>
  <c r="E247" i="11"/>
  <c r="D481" i="11"/>
  <c r="B481" i="11"/>
  <c r="A482" i="11"/>
  <c r="B482" i="11" l="1"/>
  <c r="D482" i="11"/>
  <c r="A483" i="11"/>
  <c r="I247" i="11"/>
  <c r="C248" i="11" s="1"/>
  <c r="F247" i="11"/>
  <c r="G247" i="11" s="1"/>
  <c r="D483" i="11" l="1"/>
  <c r="B483" i="11"/>
  <c r="A484" i="11"/>
  <c r="H248" i="11"/>
  <c r="J248" i="11" s="1"/>
  <c r="E248" i="11"/>
  <c r="F248" i="11" l="1"/>
  <c r="G248" i="11" s="1"/>
  <c r="I248" i="11"/>
  <c r="C249" i="11" s="1"/>
  <c r="B484" i="11"/>
  <c r="A485" i="11"/>
  <c r="D484" i="11"/>
  <c r="D485" i="11" l="1"/>
  <c r="A486" i="11"/>
  <c r="B485" i="11"/>
  <c r="H249" i="11"/>
  <c r="J249" i="11" s="1"/>
  <c r="E249" i="11"/>
  <c r="I249" i="11" l="1"/>
  <c r="C250" i="11" s="1"/>
  <c r="F249" i="11"/>
  <c r="G249" i="11" s="1"/>
  <c r="B486" i="11"/>
  <c r="A487" i="11"/>
  <c r="D486" i="11"/>
  <c r="H250" i="11" l="1"/>
  <c r="J250" i="11" s="1"/>
  <c r="E250" i="11"/>
  <c r="D487" i="11"/>
  <c r="B487" i="11"/>
  <c r="A488" i="11"/>
  <c r="B488" i="11" l="1"/>
  <c r="A489" i="11"/>
  <c r="D488" i="11"/>
  <c r="F250" i="11"/>
  <c r="G250" i="11" s="1"/>
  <c r="I250" i="11"/>
  <c r="C251" i="11" s="1"/>
  <c r="H251" i="11" l="1"/>
  <c r="J251" i="11" s="1"/>
  <c r="E251" i="11"/>
  <c r="D489" i="11"/>
  <c r="B489" i="11"/>
  <c r="A490" i="11"/>
  <c r="B490" i="11" l="1"/>
  <c r="D490" i="11"/>
  <c r="A491" i="11"/>
  <c r="I251" i="11"/>
  <c r="C252" i="11" s="1"/>
  <c r="F251" i="11"/>
  <c r="G251" i="11" s="1"/>
  <c r="D491" i="11" l="1"/>
  <c r="B491" i="11"/>
  <c r="A492" i="11"/>
  <c r="E252" i="11"/>
  <c r="H252" i="11"/>
  <c r="J252" i="11" s="1"/>
  <c r="F252" i="11" l="1"/>
  <c r="G252" i="11" s="1"/>
  <c r="I252" i="11"/>
  <c r="C253" i="11" s="1"/>
  <c r="B492" i="11"/>
  <c r="A493" i="11"/>
  <c r="D492" i="11"/>
  <c r="H253" i="11" l="1"/>
  <c r="J253" i="11" s="1"/>
  <c r="E253" i="11"/>
  <c r="D493" i="11"/>
  <c r="A494" i="11"/>
  <c r="B493" i="11"/>
  <c r="B494" i="11" l="1"/>
  <c r="A495" i="11"/>
  <c r="D494" i="11"/>
  <c r="I253" i="11"/>
  <c r="C254" i="11" s="1"/>
  <c r="F253" i="11"/>
  <c r="G253" i="11" s="1"/>
  <c r="D495" i="11" l="1"/>
  <c r="B495" i="11"/>
  <c r="A496" i="11"/>
  <c r="E254" i="11"/>
  <c r="H254" i="11"/>
  <c r="J254" i="11" s="1"/>
  <c r="F254" i="11" l="1"/>
  <c r="G254" i="11" s="1"/>
  <c r="I254" i="11"/>
  <c r="C255" i="11" s="1"/>
  <c r="B496" i="11"/>
  <c r="D496" i="11"/>
  <c r="A497" i="11"/>
  <c r="H255" i="11" l="1"/>
  <c r="J255" i="11" s="1"/>
  <c r="E255" i="11"/>
  <c r="D497" i="11"/>
  <c r="B497" i="11"/>
  <c r="I255" i="11" l="1"/>
  <c r="C256" i="11" s="1"/>
  <c r="F255" i="11"/>
  <c r="G255" i="11" s="1"/>
  <c r="H256" i="11" l="1"/>
  <c r="J256" i="11" s="1"/>
  <c r="E256" i="11"/>
  <c r="I256" i="11" l="1"/>
  <c r="C257" i="11" s="1"/>
  <c r="F256" i="11"/>
  <c r="G256" i="11" s="1"/>
  <c r="H257" i="11" l="1"/>
  <c r="J257" i="11" s="1"/>
  <c r="E257" i="11"/>
  <c r="F257" i="11" l="1"/>
  <c r="G257" i="11" s="1"/>
  <c r="I257" i="11"/>
  <c r="C258" i="11" s="1"/>
  <c r="H258" i="11" l="1"/>
  <c r="J258" i="11" s="1"/>
  <c r="E258" i="11"/>
  <c r="F258" i="11" l="1"/>
  <c r="G258" i="11" s="1"/>
  <c r="I258" i="11"/>
  <c r="C259" i="11" s="1"/>
  <c r="H259" i="11" l="1"/>
  <c r="J259" i="11" s="1"/>
  <c r="E259" i="11"/>
  <c r="I259" i="11" l="1"/>
  <c r="C260" i="11" s="1"/>
  <c r="F259" i="11"/>
  <c r="G259" i="11" s="1"/>
  <c r="H260" i="11" l="1"/>
  <c r="J260" i="11" s="1"/>
  <c r="E260" i="11"/>
  <c r="I260" i="11" l="1"/>
  <c r="C261" i="11" s="1"/>
  <c r="F260" i="11"/>
  <c r="G260" i="11" s="1"/>
  <c r="H261" i="11" l="1"/>
  <c r="J261" i="11" s="1"/>
  <c r="E261" i="11"/>
  <c r="I261" i="11" l="1"/>
  <c r="C262" i="11" s="1"/>
  <c r="F261" i="11"/>
  <c r="G261" i="11" s="1"/>
  <c r="H262" i="11" l="1"/>
  <c r="J262" i="11" s="1"/>
  <c r="E262" i="11"/>
  <c r="I262" i="11" l="1"/>
  <c r="C263" i="11" s="1"/>
  <c r="F262" i="11"/>
  <c r="G262" i="11" s="1"/>
  <c r="H263" i="11" l="1"/>
  <c r="J263" i="11" s="1"/>
  <c r="E263" i="11"/>
  <c r="I263" i="11" l="1"/>
  <c r="C264" i="11" s="1"/>
  <c r="F263" i="11"/>
  <c r="G263" i="11" s="1"/>
  <c r="H264" i="11" l="1"/>
  <c r="J264" i="11" s="1"/>
  <c r="E264" i="11"/>
  <c r="I264" i="11" l="1"/>
  <c r="C265" i="11" s="1"/>
  <c r="F264" i="11"/>
  <c r="G264" i="11" s="1"/>
  <c r="H265" i="11" l="1"/>
  <c r="J265" i="11" s="1"/>
  <c r="E265" i="11"/>
  <c r="F265" i="11" l="1"/>
  <c r="G265" i="11" s="1"/>
  <c r="I265" i="11"/>
  <c r="C266" i="11" s="1"/>
  <c r="H266" i="11" l="1"/>
  <c r="J266" i="11" s="1"/>
  <c r="E266" i="11"/>
  <c r="F266" i="11" l="1"/>
  <c r="G266" i="11" s="1"/>
  <c r="I266" i="11"/>
  <c r="C267" i="11" s="1"/>
  <c r="H267" i="11" l="1"/>
  <c r="J267" i="11" s="1"/>
  <c r="E267" i="11"/>
  <c r="F267" i="11" l="1"/>
  <c r="G267" i="11" s="1"/>
  <c r="I267" i="11"/>
  <c r="C268" i="11" s="1"/>
  <c r="H268" i="11" l="1"/>
  <c r="J268" i="11" s="1"/>
  <c r="E268" i="11"/>
  <c r="F268" i="11" l="1"/>
  <c r="G268" i="11" s="1"/>
  <c r="I268" i="11"/>
  <c r="C269" i="11" s="1"/>
  <c r="E269" i="11" l="1"/>
  <c r="H269" i="11"/>
  <c r="J269" i="11" s="1"/>
  <c r="F269" i="11" l="1"/>
  <c r="G269" i="11" s="1"/>
  <c r="I269" i="11"/>
  <c r="C270" i="11" s="1"/>
  <c r="H270" i="11" l="1"/>
  <c r="J270" i="11" s="1"/>
  <c r="E270" i="11"/>
  <c r="F270" i="11" l="1"/>
  <c r="G270" i="11" s="1"/>
  <c r="I270" i="11"/>
  <c r="C271" i="11" s="1"/>
  <c r="H271" i="11" l="1"/>
  <c r="J271" i="11" s="1"/>
  <c r="E271" i="11"/>
  <c r="I271" i="11" l="1"/>
  <c r="C272" i="11" s="1"/>
  <c r="F271" i="11"/>
  <c r="G271" i="11" s="1"/>
  <c r="H272" i="11" l="1"/>
  <c r="J272" i="11" s="1"/>
  <c r="E272" i="11"/>
  <c r="I272" i="11" l="1"/>
  <c r="C273" i="11" s="1"/>
  <c r="F272" i="11"/>
  <c r="G272" i="11" s="1"/>
  <c r="H273" i="11" l="1"/>
  <c r="J273" i="11" s="1"/>
  <c r="E273" i="11"/>
  <c r="I273" i="11" l="1"/>
  <c r="C274" i="11" s="1"/>
  <c r="F273" i="11"/>
  <c r="G273" i="11" s="1"/>
  <c r="H274" i="11" l="1"/>
  <c r="J274" i="11" s="1"/>
  <c r="E274" i="11"/>
  <c r="F274" i="11" l="1"/>
  <c r="G274" i="11" s="1"/>
  <c r="I274" i="11"/>
  <c r="C275" i="11" s="1"/>
  <c r="H275" i="11" l="1"/>
  <c r="J275" i="11" s="1"/>
  <c r="E275" i="11"/>
  <c r="I275" i="11" l="1"/>
  <c r="C276" i="11" s="1"/>
  <c r="F275" i="11"/>
  <c r="G275" i="11" s="1"/>
  <c r="H276" i="11" l="1"/>
  <c r="J276" i="11" s="1"/>
  <c r="E276" i="11"/>
  <c r="F276" i="11" l="1"/>
  <c r="G276" i="11" s="1"/>
  <c r="I276" i="11"/>
  <c r="C277" i="11" s="1"/>
  <c r="H277" i="11" l="1"/>
  <c r="J277" i="11" s="1"/>
  <c r="E277" i="11"/>
  <c r="F277" i="11" l="1"/>
  <c r="G277" i="11" s="1"/>
  <c r="I277" i="11"/>
  <c r="C278" i="11" s="1"/>
  <c r="E278" i="11" l="1"/>
  <c r="H278" i="11"/>
  <c r="J278" i="11" s="1"/>
  <c r="I278" i="11" l="1"/>
  <c r="C279" i="11" s="1"/>
  <c r="F278" i="11"/>
  <c r="G278" i="11" s="1"/>
  <c r="H279" i="11" l="1"/>
  <c r="J279" i="11" s="1"/>
  <c r="E279" i="11"/>
  <c r="F279" i="11" l="1"/>
  <c r="G279" i="11" s="1"/>
  <c r="I279" i="11"/>
  <c r="C280" i="11" s="1"/>
  <c r="H280" i="11" l="1"/>
  <c r="J280" i="11" s="1"/>
  <c r="E280" i="11"/>
  <c r="I280" i="11" l="1"/>
  <c r="C281" i="11" s="1"/>
  <c r="F280" i="11"/>
  <c r="G280" i="11" s="1"/>
  <c r="H281" i="11" l="1"/>
  <c r="J281" i="11" s="1"/>
  <c r="E281" i="11"/>
  <c r="F281" i="11" l="1"/>
  <c r="G281" i="11" s="1"/>
  <c r="I281" i="11"/>
  <c r="C282" i="11" s="1"/>
  <c r="E282" i="11" l="1"/>
  <c r="H282" i="11"/>
  <c r="J282" i="11" s="1"/>
  <c r="F282" i="11" l="1"/>
  <c r="G282" i="11" s="1"/>
  <c r="I282" i="11"/>
  <c r="C283" i="11" s="1"/>
  <c r="H283" i="11" l="1"/>
  <c r="J283" i="11" s="1"/>
  <c r="E283" i="11"/>
  <c r="I283" i="11" l="1"/>
  <c r="C284" i="11" s="1"/>
  <c r="F283" i="11"/>
  <c r="G283" i="11" s="1"/>
  <c r="H284" i="11" l="1"/>
  <c r="J284" i="11" s="1"/>
  <c r="E284" i="11"/>
  <c r="I284" i="11" l="1"/>
  <c r="C285" i="11" s="1"/>
  <c r="F284" i="11"/>
  <c r="G284" i="11" s="1"/>
  <c r="E285" i="11" l="1"/>
  <c r="H285" i="11"/>
  <c r="J285" i="11" s="1"/>
  <c r="F285" i="11" l="1"/>
  <c r="G285" i="11" s="1"/>
  <c r="I285" i="11"/>
  <c r="C286" i="11" s="1"/>
  <c r="H286" i="11" l="1"/>
  <c r="J286" i="11" s="1"/>
  <c r="E286" i="11"/>
  <c r="I286" i="11" l="1"/>
  <c r="C287" i="11" s="1"/>
  <c r="F286" i="11"/>
  <c r="G286" i="11" s="1"/>
  <c r="H287" i="11" l="1"/>
  <c r="J287" i="11" s="1"/>
  <c r="E287" i="11"/>
  <c r="I287" i="11" l="1"/>
  <c r="C288" i="11" s="1"/>
  <c r="F287" i="11"/>
  <c r="G287" i="11" s="1"/>
  <c r="H288" i="11" l="1"/>
  <c r="J288" i="11" s="1"/>
  <c r="E288" i="11"/>
  <c r="F288" i="11" l="1"/>
  <c r="G288" i="11" s="1"/>
  <c r="I288" i="11"/>
  <c r="C289" i="11" s="1"/>
  <c r="H289" i="11" l="1"/>
  <c r="J289" i="11" s="1"/>
  <c r="E289" i="11"/>
  <c r="I289" i="11" l="1"/>
  <c r="C290" i="11" s="1"/>
  <c r="F289" i="11"/>
  <c r="G289" i="11" s="1"/>
  <c r="H290" i="11" l="1"/>
  <c r="J290" i="11" s="1"/>
  <c r="E290" i="11"/>
  <c r="I290" i="11" l="1"/>
  <c r="C291" i="11" s="1"/>
  <c r="F290" i="11"/>
  <c r="G290" i="11" s="1"/>
  <c r="H291" i="11" l="1"/>
  <c r="J291" i="11" s="1"/>
  <c r="E291" i="11"/>
  <c r="F291" i="11" l="1"/>
  <c r="G291" i="11" s="1"/>
  <c r="I291" i="11"/>
  <c r="C292" i="11" s="1"/>
  <c r="H292" i="11" l="1"/>
  <c r="J292" i="11" s="1"/>
  <c r="E292" i="11"/>
  <c r="I292" i="11" l="1"/>
  <c r="C293" i="11" s="1"/>
  <c r="F292" i="11"/>
  <c r="G292" i="11" s="1"/>
  <c r="H293" i="11" l="1"/>
  <c r="J293" i="11" s="1"/>
  <c r="E293" i="11"/>
  <c r="I293" i="11" l="1"/>
  <c r="C294" i="11" s="1"/>
  <c r="F293" i="11"/>
  <c r="G293" i="11" s="1"/>
  <c r="H294" i="11" l="1"/>
  <c r="J294" i="11" s="1"/>
  <c r="E294" i="11"/>
  <c r="F294" i="11" l="1"/>
  <c r="G294" i="11" s="1"/>
  <c r="I294" i="11"/>
  <c r="C295" i="11" s="1"/>
  <c r="H295" i="11" l="1"/>
  <c r="J295" i="11" s="1"/>
  <c r="E295" i="11"/>
  <c r="F295" i="11" l="1"/>
  <c r="G295" i="11" s="1"/>
  <c r="I295" i="11"/>
  <c r="C296" i="11" s="1"/>
  <c r="H296" i="11" l="1"/>
  <c r="J296" i="11" s="1"/>
  <c r="E296" i="11"/>
  <c r="F296" i="11" l="1"/>
  <c r="G296" i="11" s="1"/>
  <c r="I296" i="11"/>
  <c r="C297" i="11" s="1"/>
  <c r="H297" i="11" l="1"/>
  <c r="J297" i="11" s="1"/>
  <c r="E297" i="11"/>
  <c r="I297" i="11" l="1"/>
  <c r="C298" i="11" s="1"/>
  <c r="F297" i="11"/>
  <c r="G297" i="11" s="1"/>
  <c r="H298" i="11" l="1"/>
  <c r="J298" i="11" s="1"/>
  <c r="E298" i="11"/>
  <c r="F298" i="11" l="1"/>
  <c r="G298" i="11" s="1"/>
  <c r="I298" i="11"/>
  <c r="C299" i="11" s="1"/>
  <c r="H299" i="11" l="1"/>
  <c r="J299" i="11" s="1"/>
  <c r="E299" i="11"/>
  <c r="F299" i="11" l="1"/>
  <c r="G299" i="11" s="1"/>
  <c r="I299" i="11"/>
  <c r="C300" i="11" s="1"/>
  <c r="H300" i="11" l="1"/>
  <c r="J300" i="11" s="1"/>
  <c r="E300" i="11"/>
  <c r="F300" i="11" l="1"/>
  <c r="G300" i="11" s="1"/>
  <c r="I300" i="11"/>
  <c r="C301" i="11" s="1"/>
  <c r="H301" i="11" l="1"/>
  <c r="J301" i="11" s="1"/>
  <c r="E301" i="11"/>
  <c r="F301" i="11" l="1"/>
  <c r="G301" i="11" s="1"/>
  <c r="I301" i="11"/>
  <c r="C302" i="11" s="1"/>
  <c r="H302" i="11" l="1"/>
  <c r="J302" i="11" s="1"/>
  <c r="E302" i="11"/>
  <c r="F302" i="11" l="1"/>
  <c r="G302" i="11" s="1"/>
  <c r="I302" i="11"/>
  <c r="C303" i="11" s="1"/>
  <c r="H303" i="11" l="1"/>
  <c r="J303" i="11" s="1"/>
  <c r="E303" i="11"/>
  <c r="F303" i="11" l="1"/>
  <c r="G303" i="11" s="1"/>
  <c r="I303" i="11"/>
  <c r="C304" i="11" s="1"/>
  <c r="H304" i="11" l="1"/>
  <c r="J304" i="11" s="1"/>
  <c r="E304" i="11"/>
  <c r="F304" i="11" l="1"/>
  <c r="G304" i="11" s="1"/>
  <c r="I304" i="11"/>
  <c r="C305" i="11" s="1"/>
  <c r="E305" i="11" l="1"/>
  <c r="H305" i="11"/>
  <c r="J305" i="11" s="1"/>
  <c r="I305" i="11" l="1"/>
  <c r="C306" i="11" s="1"/>
  <c r="F305" i="11"/>
  <c r="G305" i="11" s="1"/>
  <c r="E306" i="11" l="1"/>
  <c r="H306" i="11"/>
  <c r="J306" i="11" s="1"/>
  <c r="F306" i="11" l="1"/>
  <c r="G306" i="11" s="1"/>
  <c r="I306" i="11"/>
  <c r="C307" i="11" s="1"/>
  <c r="H307" i="11" l="1"/>
  <c r="J307" i="11" s="1"/>
  <c r="E307" i="11"/>
  <c r="I307" i="11" l="1"/>
  <c r="C308" i="11" s="1"/>
  <c r="F307" i="11"/>
  <c r="G307" i="11" s="1"/>
  <c r="H308" i="11" l="1"/>
  <c r="J308" i="11" s="1"/>
  <c r="E308" i="11"/>
  <c r="F308" i="11" l="1"/>
  <c r="G308" i="11" s="1"/>
  <c r="I308" i="11"/>
  <c r="C309" i="11" s="1"/>
  <c r="E309" i="11" l="1"/>
  <c r="H309" i="11"/>
  <c r="J309" i="11" s="1"/>
  <c r="I309" i="11" l="1"/>
  <c r="C310" i="11" s="1"/>
  <c r="F309" i="11"/>
  <c r="G309" i="11" s="1"/>
  <c r="H310" i="11" l="1"/>
  <c r="J310" i="11" s="1"/>
  <c r="E310" i="11"/>
  <c r="F310" i="11" l="1"/>
  <c r="G310" i="11" s="1"/>
  <c r="I310" i="11"/>
  <c r="C311" i="11" s="1"/>
  <c r="H311" i="11" l="1"/>
  <c r="J311" i="11" s="1"/>
  <c r="E311" i="11"/>
  <c r="I311" i="11" l="1"/>
  <c r="C312" i="11" s="1"/>
  <c r="F311" i="11"/>
  <c r="G311" i="11" s="1"/>
  <c r="H312" i="11" l="1"/>
  <c r="J312" i="11" s="1"/>
  <c r="E312" i="11"/>
  <c r="F312" i="11" l="1"/>
  <c r="G312" i="11" s="1"/>
  <c r="I312" i="11"/>
  <c r="C313" i="11" s="1"/>
  <c r="H313" i="11" l="1"/>
  <c r="J313" i="11" s="1"/>
  <c r="E313" i="11"/>
  <c r="I313" i="11" l="1"/>
  <c r="C314" i="11" s="1"/>
  <c r="F313" i="11"/>
  <c r="G313" i="11" s="1"/>
  <c r="H314" i="11" l="1"/>
  <c r="J314" i="11" s="1"/>
  <c r="E314" i="11"/>
  <c r="F314" i="11" l="1"/>
  <c r="G314" i="11" s="1"/>
  <c r="I314" i="11"/>
  <c r="C315" i="11" s="1"/>
  <c r="H315" i="11" l="1"/>
  <c r="J315" i="11" s="1"/>
  <c r="E315" i="11"/>
  <c r="F315" i="11" l="1"/>
  <c r="G315" i="11" s="1"/>
  <c r="I315" i="11"/>
  <c r="C316" i="11" s="1"/>
  <c r="H316" i="11" l="1"/>
  <c r="J316" i="11" s="1"/>
  <c r="E316" i="11"/>
  <c r="F316" i="11" l="1"/>
  <c r="G316" i="11" s="1"/>
  <c r="I316" i="11"/>
  <c r="C317" i="11" s="1"/>
  <c r="H317" i="11" l="1"/>
  <c r="J317" i="11" s="1"/>
  <c r="E317" i="11"/>
  <c r="F317" i="11" l="1"/>
  <c r="G317" i="11" s="1"/>
  <c r="I317" i="11"/>
  <c r="C318" i="11" s="1"/>
  <c r="H318" i="11" l="1"/>
  <c r="J318" i="11" s="1"/>
  <c r="E318" i="11"/>
  <c r="F318" i="11" l="1"/>
  <c r="G318" i="11" s="1"/>
  <c r="I318" i="11"/>
  <c r="C319" i="11" s="1"/>
  <c r="H319" i="11" l="1"/>
  <c r="J319" i="11" s="1"/>
  <c r="E319" i="11"/>
  <c r="F319" i="11" l="1"/>
  <c r="G319" i="11" s="1"/>
  <c r="I319" i="11"/>
  <c r="C320" i="11" s="1"/>
  <c r="H320" i="11" l="1"/>
  <c r="J320" i="11" s="1"/>
  <c r="E320" i="11"/>
  <c r="F320" i="11" l="1"/>
  <c r="G320" i="11" s="1"/>
  <c r="I320" i="11"/>
  <c r="C321" i="11" s="1"/>
  <c r="H321" i="11" l="1"/>
  <c r="J321" i="11" s="1"/>
  <c r="E321" i="11"/>
  <c r="I321" i="11" l="1"/>
  <c r="C322" i="11" s="1"/>
  <c r="F321" i="11"/>
  <c r="G321" i="11" s="1"/>
  <c r="H322" i="11" l="1"/>
  <c r="J322" i="11" s="1"/>
  <c r="E322" i="11"/>
  <c r="F322" i="11" l="1"/>
  <c r="G322" i="11" s="1"/>
  <c r="I322" i="11"/>
  <c r="C323" i="11" s="1"/>
  <c r="H323" i="11" l="1"/>
  <c r="J323" i="11" s="1"/>
  <c r="E323" i="11"/>
  <c r="I323" i="11" l="1"/>
  <c r="C324" i="11" s="1"/>
  <c r="F323" i="11"/>
  <c r="G323" i="11" s="1"/>
  <c r="H324" i="11" l="1"/>
  <c r="J324" i="11" s="1"/>
  <c r="E324" i="11"/>
  <c r="F324" i="11" l="1"/>
  <c r="G324" i="11" s="1"/>
  <c r="I324" i="11"/>
  <c r="C325" i="11" s="1"/>
  <c r="H325" i="11" l="1"/>
  <c r="J325" i="11" s="1"/>
  <c r="E325" i="11"/>
  <c r="F325" i="11" l="1"/>
  <c r="G325" i="11" s="1"/>
  <c r="I325" i="11"/>
  <c r="C326" i="11" s="1"/>
  <c r="H326" i="11" l="1"/>
  <c r="J326" i="11" s="1"/>
  <c r="E326" i="11"/>
  <c r="F326" i="11" l="1"/>
  <c r="G326" i="11" s="1"/>
  <c r="I326" i="11"/>
  <c r="C327" i="11" s="1"/>
  <c r="H327" i="11" l="1"/>
  <c r="J327" i="11" s="1"/>
  <c r="E327" i="11"/>
  <c r="F327" i="11" l="1"/>
  <c r="G327" i="11" s="1"/>
  <c r="I327" i="11"/>
  <c r="C328" i="11" s="1"/>
  <c r="H328" i="11" l="1"/>
  <c r="J328" i="11" s="1"/>
  <c r="E328" i="11"/>
  <c r="F328" i="11" l="1"/>
  <c r="G328" i="11" s="1"/>
  <c r="I328" i="11"/>
  <c r="C329" i="11" s="1"/>
  <c r="H329" i="11" l="1"/>
  <c r="J329" i="11" s="1"/>
  <c r="E329" i="11"/>
  <c r="I329" i="11" l="1"/>
  <c r="C330" i="11" s="1"/>
  <c r="F329" i="11"/>
  <c r="G329" i="11" s="1"/>
  <c r="H330" i="11" l="1"/>
  <c r="J330" i="11" s="1"/>
  <c r="E330" i="11"/>
  <c r="F330" i="11" l="1"/>
  <c r="G330" i="11" s="1"/>
  <c r="I330" i="11"/>
  <c r="C331" i="11" s="1"/>
  <c r="H331" i="11" l="1"/>
  <c r="J331" i="11" s="1"/>
  <c r="E331" i="11"/>
  <c r="I331" i="11" l="1"/>
  <c r="C332" i="11" s="1"/>
  <c r="F331" i="11"/>
  <c r="G331" i="11" s="1"/>
  <c r="H332" i="11" l="1"/>
  <c r="J332" i="11" s="1"/>
  <c r="E332" i="11"/>
  <c r="I332" i="11" l="1"/>
  <c r="C333" i="11" s="1"/>
  <c r="F332" i="11"/>
  <c r="G332" i="11" s="1"/>
  <c r="H333" i="11" l="1"/>
  <c r="J333" i="11" s="1"/>
  <c r="E333" i="11"/>
  <c r="F333" i="11" l="1"/>
  <c r="G333" i="11" s="1"/>
  <c r="I333" i="11"/>
  <c r="C334" i="11" s="1"/>
  <c r="E334" i="11" l="1"/>
  <c r="H334" i="11"/>
  <c r="J334" i="11" s="1"/>
  <c r="I334" i="11" l="1"/>
  <c r="C335" i="11" s="1"/>
  <c r="F334" i="11"/>
  <c r="G334" i="11" s="1"/>
  <c r="H335" i="11" l="1"/>
  <c r="J335" i="11" s="1"/>
  <c r="E335" i="11"/>
  <c r="I335" i="11" l="1"/>
  <c r="C336" i="11" s="1"/>
  <c r="F335" i="11"/>
  <c r="G335" i="11" s="1"/>
  <c r="E336" i="11" l="1"/>
  <c r="H336" i="11"/>
  <c r="J336" i="11" s="1"/>
  <c r="I336" i="11" l="1"/>
  <c r="C337" i="11" s="1"/>
  <c r="F336" i="11"/>
  <c r="G336" i="11" s="1"/>
  <c r="E337" i="11" l="1"/>
  <c r="H337" i="11"/>
  <c r="J337" i="11" s="1"/>
  <c r="F337" i="11" l="1"/>
  <c r="G337" i="11" s="1"/>
  <c r="I337" i="11"/>
  <c r="C338" i="11" s="1"/>
  <c r="H338" i="11" l="1"/>
  <c r="J338" i="11" s="1"/>
  <c r="E338" i="11"/>
  <c r="F338" i="11" l="1"/>
  <c r="G338" i="11" s="1"/>
  <c r="I338" i="11"/>
  <c r="C339" i="11" s="1"/>
  <c r="H339" i="11" l="1"/>
  <c r="J339" i="11" s="1"/>
  <c r="E339" i="11"/>
  <c r="F339" i="11" l="1"/>
  <c r="G339" i="11" s="1"/>
  <c r="I339" i="11"/>
  <c r="C340" i="11" s="1"/>
  <c r="H340" i="11" l="1"/>
  <c r="J340" i="11" s="1"/>
  <c r="E340" i="11"/>
  <c r="I340" i="11" l="1"/>
  <c r="C341" i="11" s="1"/>
  <c r="F340" i="11"/>
  <c r="G340" i="11" s="1"/>
  <c r="H341" i="11" l="1"/>
  <c r="J341" i="11" s="1"/>
  <c r="E341" i="11"/>
  <c r="F341" i="11" l="1"/>
  <c r="G341" i="11" s="1"/>
  <c r="I341" i="11"/>
  <c r="C342" i="11" s="1"/>
  <c r="H342" i="11" l="1"/>
  <c r="J342" i="11" s="1"/>
  <c r="E342" i="11"/>
  <c r="I342" i="11" l="1"/>
  <c r="C343" i="11" s="1"/>
  <c r="F342" i="11"/>
  <c r="G342" i="11" s="1"/>
  <c r="H343" i="11" l="1"/>
  <c r="J343" i="11" s="1"/>
  <c r="E343" i="11"/>
  <c r="F343" i="11" l="1"/>
  <c r="G343" i="11" s="1"/>
  <c r="I343" i="11"/>
  <c r="C344" i="11" s="1"/>
  <c r="H344" i="11" l="1"/>
  <c r="J344" i="11" s="1"/>
  <c r="E344" i="11"/>
  <c r="I344" i="11" l="1"/>
  <c r="C345" i="11" s="1"/>
  <c r="F344" i="11"/>
  <c r="G344" i="11" s="1"/>
  <c r="E345" i="11" l="1"/>
  <c r="H345" i="11"/>
  <c r="J345" i="11" s="1"/>
  <c r="F345" i="11" l="1"/>
  <c r="G345" i="11" s="1"/>
  <c r="I345" i="11"/>
  <c r="C346" i="11" s="1"/>
  <c r="H346" i="11" l="1"/>
  <c r="J346" i="11" s="1"/>
  <c r="E346" i="11"/>
  <c r="I346" i="11" l="1"/>
  <c r="C347" i="11" s="1"/>
  <c r="F346" i="11"/>
  <c r="G346" i="11" s="1"/>
  <c r="H347" i="11" l="1"/>
  <c r="J347" i="11" s="1"/>
  <c r="E347" i="11"/>
  <c r="F347" i="11" l="1"/>
  <c r="G347" i="11" s="1"/>
  <c r="I347" i="11"/>
  <c r="C348" i="11" s="1"/>
  <c r="H348" i="11" l="1"/>
  <c r="J348" i="11" s="1"/>
  <c r="E348" i="11"/>
  <c r="I348" i="11" l="1"/>
  <c r="C349" i="11" s="1"/>
  <c r="F348" i="11"/>
  <c r="G348" i="11" s="1"/>
  <c r="H349" i="11" l="1"/>
  <c r="J349" i="11" s="1"/>
  <c r="E349" i="11"/>
  <c r="F349" i="11" l="1"/>
  <c r="G349" i="11" s="1"/>
  <c r="I349" i="11"/>
  <c r="C350" i="11" s="1"/>
  <c r="E350" i="11" l="1"/>
  <c r="H350" i="11"/>
  <c r="J350" i="11" s="1"/>
  <c r="I350" i="11" l="1"/>
  <c r="C351" i="11" s="1"/>
  <c r="F350" i="11"/>
  <c r="G350" i="11" s="1"/>
  <c r="H351" i="11" l="1"/>
  <c r="J351" i="11" s="1"/>
  <c r="E351" i="11"/>
  <c r="I351" i="11" l="1"/>
  <c r="C352" i="11" s="1"/>
  <c r="F351" i="11"/>
  <c r="G351" i="11" s="1"/>
  <c r="H352" i="11" l="1"/>
  <c r="J352" i="11" s="1"/>
  <c r="E352" i="11"/>
  <c r="F352" i="11" l="1"/>
  <c r="G352" i="11" s="1"/>
  <c r="I352" i="11"/>
  <c r="C353" i="11" s="1"/>
  <c r="H353" i="11" l="1"/>
  <c r="J353" i="11" s="1"/>
  <c r="E353" i="11"/>
  <c r="I353" i="11" l="1"/>
  <c r="C354" i="11" s="1"/>
  <c r="F353" i="11"/>
  <c r="G353" i="11" s="1"/>
  <c r="H354" i="11" l="1"/>
  <c r="J354" i="11" s="1"/>
  <c r="E354" i="11"/>
  <c r="F354" i="11" l="1"/>
  <c r="G354" i="11" s="1"/>
  <c r="I354" i="11"/>
  <c r="C355" i="11" s="1"/>
  <c r="H355" i="11" l="1"/>
  <c r="J355" i="11" s="1"/>
  <c r="E355" i="11"/>
  <c r="F355" i="11" l="1"/>
  <c r="G355" i="11" s="1"/>
  <c r="I355" i="11"/>
  <c r="C356" i="11" s="1"/>
  <c r="H356" i="11" l="1"/>
  <c r="J356" i="11" s="1"/>
  <c r="E356" i="11"/>
  <c r="I356" i="11" l="1"/>
  <c r="C357" i="11" s="1"/>
  <c r="F356" i="11"/>
  <c r="G356" i="11" s="1"/>
  <c r="H357" i="11" l="1"/>
  <c r="J357" i="11" s="1"/>
  <c r="E357" i="11"/>
  <c r="F357" i="11" l="1"/>
  <c r="G357" i="11" s="1"/>
  <c r="I357" i="11"/>
  <c r="C358" i="11" s="1"/>
  <c r="H358" i="11" l="1"/>
  <c r="J358" i="11" s="1"/>
  <c r="E358" i="11"/>
  <c r="F358" i="11" l="1"/>
  <c r="G358" i="11" s="1"/>
  <c r="I358" i="11"/>
  <c r="C359" i="11" s="1"/>
  <c r="H359" i="11" l="1"/>
  <c r="J359" i="11" s="1"/>
  <c r="E359" i="11"/>
  <c r="F359" i="11" l="1"/>
  <c r="G359" i="11" s="1"/>
  <c r="I359" i="11"/>
  <c r="C360" i="11" s="1"/>
  <c r="E360" i="11" l="1"/>
  <c r="H360" i="11"/>
  <c r="J360" i="11" s="1"/>
  <c r="I360" i="11" l="1"/>
  <c r="C361" i="11" s="1"/>
  <c r="F360" i="11"/>
  <c r="G360" i="11" s="1"/>
  <c r="H361" i="11" l="1"/>
  <c r="J361" i="11" s="1"/>
  <c r="E361" i="11"/>
  <c r="I361" i="11" l="1"/>
  <c r="C362" i="11" s="1"/>
  <c r="F361" i="11"/>
  <c r="G361" i="11" s="1"/>
  <c r="H362" i="11" l="1"/>
  <c r="J362" i="11" s="1"/>
  <c r="E362" i="11"/>
  <c r="I362" i="11" l="1"/>
  <c r="C363" i="11" s="1"/>
  <c r="F362" i="11"/>
  <c r="G362" i="11" s="1"/>
  <c r="H363" i="11" l="1"/>
  <c r="J363" i="11" s="1"/>
  <c r="E363" i="11"/>
  <c r="F363" i="11" l="1"/>
  <c r="G363" i="11" s="1"/>
  <c r="I363" i="11"/>
  <c r="C364" i="11" s="1"/>
  <c r="H364" i="11" l="1"/>
  <c r="J364" i="11" s="1"/>
  <c r="E364" i="11"/>
  <c r="I364" i="11" l="1"/>
  <c r="C365" i="11" s="1"/>
  <c r="F364" i="11"/>
  <c r="G364" i="11" s="1"/>
  <c r="H365" i="11" l="1"/>
  <c r="J365" i="11" s="1"/>
  <c r="E365" i="11"/>
  <c r="F365" i="11" l="1"/>
  <c r="G365" i="11" s="1"/>
  <c r="I365" i="11"/>
  <c r="C366" i="11" s="1"/>
  <c r="H366" i="11" l="1"/>
  <c r="J366" i="11" s="1"/>
  <c r="E366" i="11"/>
  <c r="I366" i="11" l="1"/>
  <c r="C367" i="11" s="1"/>
  <c r="F366" i="11"/>
  <c r="G366" i="11" s="1"/>
  <c r="H367" i="11" l="1"/>
  <c r="J367" i="11" s="1"/>
  <c r="E367" i="11"/>
  <c r="I367" i="11" l="1"/>
  <c r="C368" i="11" s="1"/>
  <c r="F367" i="11"/>
  <c r="G367" i="11" s="1"/>
  <c r="H368" i="11" l="1"/>
  <c r="J368" i="11" s="1"/>
  <c r="E368" i="11"/>
  <c r="F368" i="11" l="1"/>
  <c r="G368" i="11" s="1"/>
  <c r="I368" i="11"/>
  <c r="C369" i="11" s="1"/>
  <c r="H369" i="11" l="1"/>
  <c r="J369" i="11" s="1"/>
  <c r="E369" i="11"/>
  <c r="F369" i="11" l="1"/>
  <c r="G369" i="11" s="1"/>
  <c r="I369" i="11"/>
  <c r="C370" i="11" s="1"/>
  <c r="H370" i="11" l="1"/>
  <c r="J370" i="11" s="1"/>
  <c r="E370" i="11"/>
  <c r="I370" i="11" l="1"/>
  <c r="C371" i="11" s="1"/>
  <c r="F370" i="11"/>
  <c r="G370" i="11" s="1"/>
  <c r="H371" i="11" l="1"/>
  <c r="J371" i="11" s="1"/>
  <c r="E371" i="11"/>
  <c r="F371" i="11" l="1"/>
  <c r="G371" i="11" s="1"/>
  <c r="I371" i="11"/>
  <c r="C372" i="11" s="1"/>
  <c r="H372" i="11" l="1"/>
  <c r="J372" i="11" s="1"/>
  <c r="E372" i="11"/>
  <c r="I372" i="11" l="1"/>
  <c r="C373" i="11" s="1"/>
  <c r="F372" i="11"/>
  <c r="G372" i="11" s="1"/>
  <c r="H373" i="11" l="1"/>
  <c r="J373" i="11" s="1"/>
  <c r="E373" i="11"/>
  <c r="F373" i="11" l="1"/>
  <c r="G373" i="11" s="1"/>
  <c r="I373" i="11"/>
  <c r="C374" i="11" s="1"/>
  <c r="H374" i="11" l="1"/>
  <c r="J374" i="11" s="1"/>
  <c r="E374" i="11"/>
  <c r="I374" i="11" l="1"/>
  <c r="C375" i="11" s="1"/>
  <c r="F374" i="11"/>
  <c r="G374" i="11" s="1"/>
  <c r="H375" i="11" l="1"/>
  <c r="J375" i="11" s="1"/>
  <c r="E375" i="11"/>
  <c r="F375" i="11" l="1"/>
  <c r="G375" i="11" s="1"/>
  <c r="I375" i="11"/>
  <c r="C376" i="11" s="1"/>
  <c r="E376" i="11" l="1"/>
  <c r="H376" i="11"/>
  <c r="J376" i="11" s="1"/>
  <c r="I376" i="11" l="1"/>
  <c r="C377" i="11" s="1"/>
  <c r="F376" i="11"/>
  <c r="G376" i="11" s="1"/>
  <c r="H377" i="11" l="1"/>
  <c r="J377" i="11" s="1"/>
  <c r="E377" i="11"/>
  <c r="F377" i="11" l="1"/>
  <c r="G377" i="11" s="1"/>
  <c r="I377" i="11"/>
  <c r="C378" i="11" s="1"/>
  <c r="H378" i="11" l="1"/>
  <c r="J378" i="11" s="1"/>
  <c r="E378" i="11"/>
  <c r="I378" i="11" l="1"/>
  <c r="C379" i="11" s="1"/>
  <c r="F378" i="11"/>
  <c r="G378" i="11" s="1"/>
  <c r="H379" i="11" l="1"/>
  <c r="J379" i="11" s="1"/>
  <c r="E379" i="11"/>
  <c r="F379" i="11" l="1"/>
  <c r="G379" i="11" s="1"/>
  <c r="I379" i="11"/>
  <c r="C380" i="11" s="1"/>
  <c r="H380" i="11" l="1"/>
  <c r="J380" i="11" s="1"/>
  <c r="E380" i="11"/>
  <c r="I380" i="11" l="1"/>
  <c r="C381" i="11" s="1"/>
  <c r="F380" i="11"/>
  <c r="G380" i="11" s="1"/>
  <c r="H381" i="11" l="1"/>
  <c r="J381" i="11" s="1"/>
  <c r="E381" i="11"/>
  <c r="F381" i="11" l="1"/>
  <c r="G381" i="11" s="1"/>
  <c r="I381" i="11"/>
  <c r="C382" i="11" s="1"/>
  <c r="H382" i="11" l="1"/>
  <c r="J382" i="11" s="1"/>
  <c r="E382" i="11"/>
  <c r="I382" i="11" l="1"/>
  <c r="C383" i="11" s="1"/>
  <c r="F382" i="11"/>
  <c r="G382" i="11" s="1"/>
  <c r="H383" i="11" l="1"/>
  <c r="J383" i="11" s="1"/>
  <c r="E383" i="11"/>
  <c r="I383" i="11" l="1"/>
  <c r="C384" i="11" s="1"/>
  <c r="F383" i="11"/>
  <c r="G383" i="11" s="1"/>
  <c r="H384" i="11" l="1"/>
  <c r="J384" i="11" s="1"/>
  <c r="E384" i="11"/>
  <c r="I384" i="11" l="1"/>
  <c r="C385" i="11" s="1"/>
  <c r="F384" i="11"/>
  <c r="G384" i="11" s="1"/>
  <c r="H385" i="11" l="1"/>
  <c r="J385" i="11" s="1"/>
  <c r="E385" i="11"/>
  <c r="I385" i="11" l="1"/>
  <c r="C386" i="11" s="1"/>
  <c r="F385" i="11"/>
  <c r="G385" i="11" s="1"/>
  <c r="H386" i="11" l="1"/>
  <c r="J386" i="11" s="1"/>
  <c r="E386" i="11"/>
  <c r="I386" i="11" l="1"/>
  <c r="C387" i="11" s="1"/>
  <c r="F386" i="11"/>
  <c r="G386" i="11" s="1"/>
  <c r="H387" i="11" l="1"/>
  <c r="J387" i="11" s="1"/>
  <c r="E387" i="11"/>
  <c r="I387" i="11" l="1"/>
  <c r="C388" i="11" s="1"/>
  <c r="F387" i="11"/>
  <c r="G387" i="11" s="1"/>
  <c r="H388" i="11" l="1"/>
  <c r="J388" i="11" s="1"/>
  <c r="E388" i="11"/>
  <c r="I388" i="11" l="1"/>
  <c r="C389" i="11" s="1"/>
  <c r="F388" i="11"/>
  <c r="G388" i="11" s="1"/>
  <c r="H389" i="11" l="1"/>
  <c r="J389" i="11" s="1"/>
  <c r="E389" i="11"/>
  <c r="I389" i="11" l="1"/>
  <c r="C390" i="11" s="1"/>
  <c r="F389" i="11"/>
  <c r="G389" i="11" s="1"/>
  <c r="H390" i="11" l="1"/>
  <c r="J390" i="11" s="1"/>
  <c r="E390" i="11"/>
  <c r="I390" i="11" l="1"/>
  <c r="C391" i="11" s="1"/>
  <c r="F390" i="11"/>
  <c r="G390" i="11" s="1"/>
  <c r="H391" i="11" l="1"/>
  <c r="J391" i="11" s="1"/>
  <c r="E391" i="11"/>
  <c r="F391" i="11" l="1"/>
  <c r="G391" i="11" s="1"/>
  <c r="I391" i="11"/>
  <c r="C392" i="11" s="1"/>
  <c r="H392" i="11" l="1"/>
  <c r="J392" i="11" s="1"/>
  <c r="E392" i="11"/>
  <c r="I392" i="11" l="1"/>
  <c r="C393" i="11" s="1"/>
  <c r="F392" i="11"/>
  <c r="G392" i="11" s="1"/>
  <c r="H393" i="11" l="1"/>
  <c r="J393" i="11" s="1"/>
  <c r="E393" i="11"/>
  <c r="I393" i="11" l="1"/>
  <c r="C394" i="11" s="1"/>
  <c r="F393" i="11"/>
  <c r="G393" i="11" s="1"/>
  <c r="H394" i="11" l="1"/>
  <c r="J394" i="11" s="1"/>
  <c r="E394" i="11"/>
  <c r="I394" i="11" l="1"/>
  <c r="C395" i="11" s="1"/>
  <c r="F394" i="11"/>
  <c r="G394" i="11" s="1"/>
  <c r="H395" i="11" l="1"/>
  <c r="J395" i="11" s="1"/>
  <c r="E395" i="11"/>
  <c r="I395" i="11" l="1"/>
  <c r="C396" i="11" s="1"/>
  <c r="F395" i="11"/>
  <c r="G395" i="11" s="1"/>
  <c r="H396" i="11" l="1"/>
  <c r="J396" i="11" s="1"/>
  <c r="E396" i="11"/>
  <c r="F396" i="11" l="1"/>
  <c r="G396" i="11" s="1"/>
  <c r="I396" i="11"/>
  <c r="C397" i="11" s="1"/>
  <c r="H397" i="11" l="1"/>
  <c r="J397" i="11" s="1"/>
  <c r="E397" i="11"/>
  <c r="F397" i="11" l="1"/>
  <c r="G397" i="11" s="1"/>
  <c r="I397" i="11"/>
  <c r="C398" i="11" s="1"/>
  <c r="H398" i="11" l="1"/>
  <c r="J398" i="11" s="1"/>
  <c r="E398" i="11"/>
  <c r="F398" i="11" l="1"/>
  <c r="G398" i="11" s="1"/>
  <c r="I398" i="11"/>
  <c r="C399" i="11" s="1"/>
  <c r="H399" i="11" l="1"/>
  <c r="J399" i="11" s="1"/>
  <c r="E399" i="11"/>
  <c r="I399" i="11" l="1"/>
  <c r="C400" i="11" s="1"/>
  <c r="F399" i="11"/>
  <c r="G399" i="11" s="1"/>
  <c r="E400" i="11" l="1"/>
  <c r="H400" i="11"/>
  <c r="J400" i="11" s="1"/>
  <c r="F400" i="11" l="1"/>
  <c r="G400" i="11" s="1"/>
  <c r="I400" i="11"/>
  <c r="C401" i="11" s="1"/>
  <c r="H401" i="11" l="1"/>
  <c r="J401" i="11" s="1"/>
  <c r="E401" i="11"/>
  <c r="I401" i="11" l="1"/>
  <c r="C402" i="11" s="1"/>
  <c r="F401" i="11"/>
  <c r="G401" i="11" s="1"/>
  <c r="E402" i="11" l="1"/>
  <c r="H402" i="11"/>
  <c r="J402" i="11" s="1"/>
  <c r="F402" i="11" l="1"/>
  <c r="G402" i="11" s="1"/>
  <c r="I402" i="11"/>
  <c r="C403" i="11" s="1"/>
  <c r="H403" i="11" l="1"/>
  <c r="J403" i="11" s="1"/>
  <c r="E403" i="11"/>
  <c r="I403" i="11" l="1"/>
  <c r="C404" i="11" s="1"/>
  <c r="F403" i="11"/>
  <c r="G403" i="11" s="1"/>
  <c r="H404" i="11" l="1"/>
  <c r="J404" i="11" s="1"/>
  <c r="E404" i="11"/>
  <c r="I404" i="11" l="1"/>
  <c r="C405" i="11" s="1"/>
  <c r="F404" i="11"/>
  <c r="G404" i="11" s="1"/>
  <c r="H405" i="11" l="1"/>
  <c r="J405" i="11" s="1"/>
  <c r="E405" i="11"/>
  <c r="F405" i="11" l="1"/>
  <c r="G405" i="11" s="1"/>
  <c r="I405" i="11"/>
  <c r="C406" i="11" s="1"/>
  <c r="H406" i="11" l="1"/>
  <c r="J406" i="11" s="1"/>
  <c r="E406" i="11"/>
  <c r="F406" i="11" l="1"/>
  <c r="G406" i="11" s="1"/>
  <c r="I406" i="11"/>
  <c r="C407" i="11" s="1"/>
  <c r="H407" i="11" l="1"/>
  <c r="J407" i="11" s="1"/>
  <c r="E407" i="11"/>
  <c r="I407" i="11" l="1"/>
  <c r="C408" i="11" s="1"/>
  <c r="F407" i="11"/>
  <c r="G407" i="11" s="1"/>
  <c r="H408" i="11" l="1"/>
  <c r="J408" i="11" s="1"/>
  <c r="E408" i="11"/>
  <c r="F408" i="11" l="1"/>
  <c r="G408" i="11" s="1"/>
  <c r="I408" i="11"/>
  <c r="C409" i="11" s="1"/>
  <c r="H409" i="11" l="1"/>
  <c r="J409" i="11" s="1"/>
  <c r="E409" i="11"/>
  <c r="I409" i="11" l="1"/>
  <c r="C410" i="11" s="1"/>
  <c r="F409" i="11"/>
  <c r="G409" i="11" s="1"/>
  <c r="E410" i="11" l="1"/>
  <c r="H410" i="11"/>
  <c r="J410" i="11" s="1"/>
  <c r="F410" i="11" l="1"/>
  <c r="G410" i="11" s="1"/>
  <c r="I410" i="11"/>
  <c r="C411" i="11" s="1"/>
  <c r="H411" i="11" l="1"/>
  <c r="J411" i="11" s="1"/>
  <c r="E411" i="11"/>
  <c r="I411" i="11" l="1"/>
  <c r="C412" i="11" s="1"/>
  <c r="F411" i="11"/>
  <c r="G411" i="11" s="1"/>
  <c r="H412" i="11" l="1"/>
  <c r="J412" i="11" s="1"/>
  <c r="E412" i="11"/>
  <c r="F412" i="11" l="1"/>
  <c r="G412" i="11" s="1"/>
  <c r="I412" i="11"/>
  <c r="C413" i="11" s="1"/>
  <c r="H413" i="11" l="1"/>
  <c r="J413" i="11" s="1"/>
  <c r="E413" i="11"/>
  <c r="I413" i="11" l="1"/>
  <c r="C414" i="11" s="1"/>
  <c r="F413" i="11"/>
  <c r="G413" i="11" s="1"/>
  <c r="H414" i="11" l="1"/>
  <c r="J414" i="11" s="1"/>
  <c r="E414" i="11"/>
  <c r="F414" i="11" l="1"/>
  <c r="G414" i="11" s="1"/>
  <c r="I414" i="11"/>
  <c r="C415" i="11" s="1"/>
  <c r="H415" i="11" l="1"/>
  <c r="J415" i="11" s="1"/>
  <c r="E415" i="11"/>
  <c r="F415" i="11" l="1"/>
  <c r="G415" i="11" s="1"/>
  <c r="I415" i="11"/>
  <c r="C416" i="11" s="1"/>
  <c r="E416" i="11" l="1"/>
  <c r="H416" i="11"/>
  <c r="J416" i="11" s="1"/>
  <c r="I416" i="11" l="1"/>
  <c r="C417" i="11" s="1"/>
  <c r="F416" i="11"/>
  <c r="G416" i="11" s="1"/>
  <c r="H417" i="11" l="1"/>
  <c r="J417" i="11" s="1"/>
  <c r="E417" i="11"/>
  <c r="F417" i="11" l="1"/>
  <c r="G417" i="11" s="1"/>
  <c r="I417" i="11"/>
  <c r="C418" i="11" s="1"/>
  <c r="H418" i="11" l="1"/>
  <c r="J418" i="11" s="1"/>
  <c r="E418" i="11"/>
  <c r="F418" i="11" l="1"/>
  <c r="G418" i="11" s="1"/>
  <c r="I418" i="11"/>
  <c r="C419" i="11" s="1"/>
  <c r="E419" i="11" l="1"/>
  <c r="H419" i="11"/>
  <c r="J419" i="11" s="1"/>
  <c r="I419" i="11" l="1"/>
  <c r="C420" i="11" s="1"/>
  <c r="F419" i="11"/>
  <c r="G419" i="11" s="1"/>
  <c r="H420" i="11" l="1"/>
  <c r="J420" i="11" s="1"/>
  <c r="E420" i="11"/>
  <c r="I420" i="11" l="1"/>
  <c r="C421" i="11" s="1"/>
  <c r="F420" i="11"/>
  <c r="G420" i="11" s="1"/>
  <c r="H421" i="11" l="1"/>
  <c r="J421" i="11" s="1"/>
  <c r="E421" i="11"/>
  <c r="I421" i="11" l="1"/>
  <c r="C422" i="11" s="1"/>
  <c r="F421" i="11"/>
  <c r="G421" i="11" s="1"/>
  <c r="E422" i="11" l="1"/>
  <c r="H422" i="11"/>
  <c r="J422" i="11" s="1"/>
  <c r="F422" i="11" l="1"/>
  <c r="G422" i="11" s="1"/>
  <c r="I422" i="11"/>
  <c r="C423" i="11" s="1"/>
  <c r="H423" i="11" l="1"/>
  <c r="J423" i="11" s="1"/>
  <c r="E423" i="11"/>
  <c r="I423" i="11" l="1"/>
  <c r="C424" i="11" s="1"/>
  <c r="F423" i="11"/>
  <c r="G423" i="11" s="1"/>
  <c r="E424" i="11" l="1"/>
  <c r="H424" i="11"/>
  <c r="J424" i="11" s="1"/>
  <c r="F424" i="11" l="1"/>
  <c r="G424" i="11" s="1"/>
  <c r="I424" i="11"/>
  <c r="C425" i="11" s="1"/>
  <c r="H425" i="11" l="1"/>
  <c r="J425" i="11" s="1"/>
  <c r="E425" i="11"/>
  <c r="I425" i="11" l="1"/>
  <c r="C426" i="11" s="1"/>
  <c r="F425" i="11"/>
  <c r="G425" i="11" s="1"/>
  <c r="H426" i="11" l="1"/>
  <c r="J426" i="11" s="1"/>
  <c r="E426" i="11"/>
  <c r="F426" i="11" l="1"/>
  <c r="G426" i="11" s="1"/>
  <c r="I426" i="11"/>
  <c r="C427" i="11" s="1"/>
  <c r="H427" i="11" l="1"/>
  <c r="J427" i="11" s="1"/>
  <c r="E427" i="11"/>
  <c r="I427" i="11" l="1"/>
  <c r="C428" i="11" s="1"/>
  <c r="F427" i="11"/>
  <c r="G427" i="11" s="1"/>
  <c r="H428" i="11" l="1"/>
  <c r="J428" i="11" s="1"/>
  <c r="E428" i="11"/>
  <c r="F428" i="11" l="1"/>
  <c r="G428" i="11" s="1"/>
  <c r="I428" i="11"/>
  <c r="C429" i="11" s="1"/>
  <c r="H429" i="11" l="1"/>
  <c r="J429" i="11" s="1"/>
  <c r="E429" i="11"/>
  <c r="F429" i="11" l="1"/>
  <c r="G429" i="11" s="1"/>
  <c r="I429" i="11"/>
  <c r="C430" i="11" s="1"/>
  <c r="H430" i="11" l="1"/>
  <c r="J430" i="11" s="1"/>
  <c r="E430" i="11"/>
  <c r="F430" i="11" l="1"/>
  <c r="G430" i="11" s="1"/>
  <c r="I430" i="11"/>
  <c r="C431" i="11" s="1"/>
  <c r="H431" i="11" l="1"/>
  <c r="J431" i="11" s="1"/>
  <c r="E431" i="11"/>
  <c r="F431" i="11" l="1"/>
  <c r="G431" i="11" s="1"/>
  <c r="I431" i="11"/>
  <c r="C432" i="11" s="1"/>
  <c r="H432" i="11" l="1"/>
  <c r="J432" i="11" s="1"/>
  <c r="E432" i="11"/>
  <c r="I432" i="11" l="1"/>
  <c r="C433" i="11" s="1"/>
  <c r="F432" i="11"/>
  <c r="G432" i="11" s="1"/>
  <c r="H433" i="11" l="1"/>
  <c r="J433" i="11" s="1"/>
  <c r="E433" i="11"/>
  <c r="I433" i="11" l="1"/>
  <c r="C434" i="11" s="1"/>
  <c r="F433" i="11"/>
  <c r="G433" i="11" s="1"/>
  <c r="H434" i="11" l="1"/>
  <c r="J434" i="11" s="1"/>
  <c r="E434" i="11"/>
  <c r="F434" i="11" l="1"/>
  <c r="G434" i="11" s="1"/>
  <c r="I434" i="11"/>
  <c r="C435" i="11" s="1"/>
  <c r="H435" i="11" l="1"/>
  <c r="J435" i="11" s="1"/>
  <c r="E435" i="11"/>
  <c r="I435" i="11" l="1"/>
  <c r="C436" i="11" s="1"/>
  <c r="F435" i="11"/>
  <c r="G435" i="11" s="1"/>
  <c r="H436" i="11" l="1"/>
  <c r="J436" i="11" s="1"/>
  <c r="E436" i="11"/>
  <c r="F436" i="11" l="1"/>
  <c r="G436" i="11" s="1"/>
  <c r="I436" i="11"/>
  <c r="C437" i="11" s="1"/>
  <c r="E437" i="11" l="1"/>
  <c r="H437" i="11"/>
  <c r="J437" i="11" s="1"/>
  <c r="F437" i="11" l="1"/>
  <c r="G437" i="11" s="1"/>
  <c r="I437" i="11"/>
  <c r="C438" i="11" s="1"/>
  <c r="H438" i="11" l="1"/>
  <c r="J438" i="11" s="1"/>
  <c r="E438" i="11"/>
  <c r="I438" i="11" l="1"/>
  <c r="C439" i="11" s="1"/>
  <c r="F438" i="11"/>
  <c r="G438" i="11" s="1"/>
  <c r="H439" i="11" l="1"/>
  <c r="J439" i="11" s="1"/>
  <c r="E439" i="11"/>
  <c r="I439" i="11" l="1"/>
  <c r="C440" i="11" s="1"/>
  <c r="F439" i="11"/>
  <c r="G439" i="11" s="1"/>
  <c r="E440" i="11" l="1"/>
  <c r="H440" i="11"/>
  <c r="J440" i="11" s="1"/>
  <c r="F440" i="11" l="1"/>
  <c r="G440" i="11" s="1"/>
  <c r="I440" i="11"/>
  <c r="C441" i="11" s="1"/>
  <c r="H441" i="11" l="1"/>
  <c r="J441" i="11" s="1"/>
  <c r="E441" i="11"/>
  <c r="F441" i="11" l="1"/>
  <c r="G441" i="11" s="1"/>
  <c r="I441" i="11"/>
  <c r="C442" i="11" s="1"/>
  <c r="H442" i="11" l="1"/>
  <c r="J442" i="11" s="1"/>
  <c r="E442" i="11"/>
  <c r="I442" i="11" l="1"/>
  <c r="C443" i="11" s="1"/>
  <c r="F442" i="11"/>
  <c r="G442" i="11" s="1"/>
  <c r="H443" i="11" l="1"/>
  <c r="J443" i="11" s="1"/>
  <c r="E443" i="11"/>
  <c r="I443" i="11" l="1"/>
  <c r="C444" i="11" s="1"/>
  <c r="F443" i="11"/>
  <c r="G443" i="11" s="1"/>
  <c r="H444" i="11" l="1"/>
  <c r="J444" i="11" s="1"/>
  <c r="E444" i="11"/>
  <c r="I444" i="11" l="1"/>
  <c r="C445" i="11" s="1"/>
  <c r="F444" i="11"/>
  <c r="G444" i="11" s="1"/>
  <c r="H445" i="11" l="1"/>
  <c r="J445" i="11" s="1"/>
  <c r="E445" i="11"/>
  <c r="F445" i="11" l="1"/>
  <c r="G445" i="11" s="1"/>
  <c r="I445" i="11"/>
  <c r="C446" i="11" s="1"/>
  <c r="E446" i="11" l="1"/>
  <c r="H446" i="11"/>
  <c r="J446" i="11" s="1"/>
  <c r="I446" i="11" l="1"/>
  <c r="C447" i="11" s="1"/>
  <c r="F446" i="11"/>
  <c r="G446" i="11" s="1"/>
  <c r="H447" i="11" l="1"/>
  <c r="J447" i="11" s="1"/>
  <c r="E447" i="11"/>
  <c r="I447" i="11" l="1"/>
  <c r="C448" i="11" s="1"/>
  <c r="F447" i="11"/>
  <c r="G447" i="11" s="1"/>
  <c r="H448" i="11" l="1"/>
  <c r="J448" i="11" s="1"/>
  <c r="E448" i="11"/>
  <c r="F448" i="11" l="1"/>
  <c r="G448" i="11" s="1"/>
  <c r="I448" i="11"/>
  <c r="C449" i="11" s="1"/>
  <c r="H449" i="11" l="1"/>
  <c r="J449" i="11" s="1"/>
  <c r="E449" i="11"/>
  <c r="I449" i="11" l="1"/>
  <c r="C450" i="11" s="1"/>
  <c r="F449" i="11"/>
  <c r="G449" i="11" s="1"/>
  <c r="H450" i="11" l="1"/>
  <c r="J450" i="11" s="1"/>
  <c r="E450" i="11"/>
  <c r="F450" i="11" l="1"/>
  <c r="G450" i="11" s="1"/>
  <c r="I450" i="11"/>
  <c r="C451" i="11" s="1"/>
  <c r="H451" i="11" l="1"/>
  <c r="J451" i="11" s="1"/>
  <c r="E451" i="11"/>
  <c r="I451" i="11" l="1"/>
  <c r="C452" i="11" s="1"/>
  <c r="F451" i="11"/>
  <c r="G451" i="11" s="1"/>
  <c r="H452" i="11" l="1"/>
  <c r="J452" i="11" s="1"/>
  <c r="E452" i="11"/>
  <c r="I452" i="11" l="1"/>
  <c r="C453" i="11" s="1"/>
  <c r="F452" i="11"/>
  <c r="G452" i="11" s="1"/>
  <c r="H453" i="11" l="1"/>
  <c r="J453" i="11" s="1"/>
  <c r="E453" i="11"/>
  <c r="I453" i="11" l="1"/>
  <c r="C454" i="11" s="1"/>
  <c r="F453" i="11"/>
  <c r="G453" i="11" s="1"/>
  <c r="H454" i="11" l="1"/>
  <c r="J454" i="11" s="1"/>
  <c r="E454" i="11"/>
  <c r="F454" i="11" l="1"/>
  <c r="G454" i="11" s="1"/>
  <c r="I454" i="11"/>
  <c r="C455" i="11" s="1"/>
  <c r="H455" i="11" l="1"/>
  <c r="J455" i="11" s="1"/>
  <c r="E455" i="11"/>
  <c r="I455" i="11" l="1"/>
  <c r="C456" i="11" s="1"/>
  <c r="F455" i="11"/>
  <c r="G455" i="11" s="1"/>
  <c r="E456" i="11" l="1"/>
  <c r="H456" i="11"/>
  <c r="J456" i="11" s="1"/>
  <c r="F456" i="11" l="1"/>
  <c r="G456" i="11" s="1"/>
  <c r="I456" i="11"/>
  <c r="C457" i="11" s="1"/>
  <c r="H457" i="11" l="1"/>
  <c r="J457" i="11" s="1"/>
  <c r="E457" i="11"/>
  <c r="F457" i="11" l="1"/>
  <c r="G457" i="11" s="1"/>
  <c r="I457" i="11"/>
  <c r="C458" i="11" s="1"/>
  <c r="H458" i="11" l="1"/>
  <c r="J458" i="11" s="1"/>
  <c r="E458" i="11"/>
  <c r="F458" i="11" l="1"/>
  <c r="G458" i="11" s="1"/>
  <c r="I458" i="11"/>
  <c r="C459" i="11" s="1"/>
  <c r="H459" i="11" l="1"/>
  <c r="J459" i="11" s="1"/>
  <c r="E459" i="11"/>
  <c r="F459" i="11" l="1"/>
  <c r="G459" i="11" s="1"/>
  <c r="I459" i="11"/>
  <c r="C460" i="11" s="1"/>
  <c r="E460" i="11" l="1"/>
  <c r="H460" i="11"/>
  <c r="J460" i="11" s="1"/>
  <c r="I460" i="11" l="1"/>
  <c r="C461" i="11" s="1"/>
  <c r="F460" i="11"/>
  <c r="G460" i="11" s="1"/>
  <c r="E461" i="11" l="1"/>
  <c r="H461" i="11"/>
  <c r="J461" i="11" s="1"/>
  <c r="F461" i="11" l="1"/>
  <c r="G461" i="11" s="1"/>
  <c r="I461" i="11"/>
  <c r="C462" i="11" s="1"/>
  <c r="H462" i="11" l="1"/>
  <c r="J462" i="11" s="1"/>
  <c r="E462" i="11"/>
  <c r="F462" i="11" l="1"/>
  <c r="G462" i="11" s="1"/>
  <c r="I462" i="11"/>
  <c r="C463" i="11" s="1"/>
  <c r="H463" i="11" l="1"/>
  <c r="J463" i="11" s="1"/>
  <c r="E463" i="11"/>
  <c r="I463" i="11" l="1"/>
  <c r="C464" i="11" s="1"/>
  <c r="F463" i="11"/>
  <c r="G463" i="11" s="1"/>
  <c r="H464" i="11" l="1"/>
  <c r="J464" i="11" s="1"/>
  <c r="E464" i="11"/>
  <c r="F464" i="11" l="1"/>
  <c r="G464" i="11" s="1"/>
  <c r="I464" i="11"/>
  <c r="C465" i="11" s="1"/>
  <c r="H465" i="11" l="1"/>
  <c r="J465" i="11" s="1"/>
  <c r="E465" i="11"/>
  <c r="I465" i="11" l="1"/>
  <c r="C466" i="11" s="1"/>
  <c r="F465" i="11"/>
  <c r="G465" i="11" s="1"/>
  <c r="H466" i="11" l="1"/>
  <c r="J466" i="11" s="1"/>
  <c r="E466" i="11"/>
  <c r="I466" i="11" l="1"/>
  <c r="C467" i="11" s="1"/>
  <c r="F466" i="11"/>
  <c r="G466" i="11" s="1"/>
  <c r="H467" i="11" l="1"/>
  <c r="J467" i="11" s="1"/>
  <c r="E467" i="11"/>
  <c r="I467" i="11" l="1"/>
  <c r="C468" i="11" s="1"/>
  <c r="F467" i="11"/>
  <c r="G467" i="11" s="1"/>
  <c r="E468" i="11" l="1"/>
  <c r="H468" i="11"/>
  <c r="J468" i="11" s="1"/>
  <c r="I468" i="11" l="1"/>
  <c r="C469" i="11" s="1"/>
  <c r="F468" i="11"/>
  <c r="G468" i="11" s="1"/>
  <c r="H469" i="11" l="1"/>
  <c r="J469" i="11" s="1"/>
  <c r="E469" i="11"/>
  <c r="F469" i="11" l="1"/>
  <c r="G469" i="11" s="1"/>
  <c r="I469" i="11"/>
  <c r="C470" i="11" s="1"/>
  <c r="H470" i="11" l="1"/>
  <c r="J470" i="11" s="1"/>
  <c r="E470" i="11"/>
  <c r="F470" i="11" l="1"/>
  <c r="G470" i="11" s="1"/>
  <c r="I470" i="11"/>
  <c r="C471" i="11" s="1"/>
  <c r="H471" i="11" l="1"/>
  <c r="J471" i="11" s="1"/>
  <c r="E471" i="11"/>
  <c r="I471" i="11" l="1"/>
  <c r="C472" i="11" s="1"/>
  <c r="F471" i="11"/>
  <c r="G471" i="11" s="1"/>
  <c r="E472" i="11" l="1"/>
  <c r="H472" i="11"/>
  <c r="J472" i="11" s="1"/>
  <c r="F472" i="11" l="1"/>
  <c r="G472" i="11" s="1"/>
  <c r="I472" i="11"/>
  <c r="C473" i="11" s="1"/>
  <c r="E473" i="11" l="1"/>
  <c r="H473" i="11"/>
  <c r="J473" i="11" s="1"/>
  <c r="F473" i="11" l="1"/>
  <c r="G473" i="11" s="1"/>
  <c r="I473" i="11"/>
  <c r="C474" i="11" s="1"/>
  <c r="H474" i="11" l="1"/>
  <c r="J474" i="11" s="1"/>
  <c r="E474" i="11"/>
  <c r="F474" i="11" l="1"/>
  <c r="G474" i="11" s="1"/>
  <c r="I474" i="11"/>
  <c r="C475" i="11" s="1"/>
  <c r="H475" i="11" l="1"/>
  <c r="J475" i="11" s="1"/>
  <c r="E475" i="11"/>
  <c r="I475" i="11" l="1"/>
  <c r="C476" i="11" s="1"/>
  <c r="F475" i="11"/>
  <c r="G475" i="11" s="1"/>
  <c r="H476" i="11" l="1"/>
  <c r="J476" i="11" s="1"/>
  <c r="E476" i="11"/>
  <c r="F476" i="11" l="1"/>
  <c r="G476" i="11" s="1"/>
  <c r="I476" i="11"/>
  <c r="C477" i="11" s="1"/>
  <c r="H477" i="11" l="1"/>
  <c r="J477" i="11" s="1"/>
  <c r="E477" i="11"/>
  <c r="F477" i="11" l="1"/>
  <c r="G477" i="11" s="1"/>
  <c r="I477" i="11"/>
  <c r="C478" i="11" s="1"/>
  <c r="H478" i="11" l="1"/>
  <c r="J478" i="11" s="1"/>
  <c r="E478" i="11"/>
  <c r="I478" i="11" l="1"/>
  <c r="C479" i="11" s="1"/>
  <c r="F478" i="11"/>
  <c r="G478" i="11" s="1"/>
  <c r="H479" i="11" l="1"/>
  <c r="J479" i="11" s="1"/>
  <c r="E479" i="11"/>
  <c r="I479" i="11" l="1"/>
  <c r="C480" i="11" s="1"/>
  <c r="F479" i="11"/>
  <c r="G479" i="11" s="1"/>
  <c r="H480" i="11" l="1"/>
  <c r="J480" i="11" s="1"/>
  <c r="E480" i="11"/>
  <c r="F480" i="11" l="1"/>
  <c r="G480" i="11" s="1"/>
  <c r="I480" i="11"/>
  <c r="C481" i="11" s="1"/>
  <c r="H481" i="11" l="1"/>
  <c r="J481" i="11" s="1"/>
  <c r="E481" i="11"/>
  <c r="F481" i="11" l="1"/>
  <c r="G481" i="11" s="1"/>
  <c r="I481" i="11"/>
  <c r="C482" i="11" s="1"/>
  <c r="E482" i="11" l="1"/>
  <c r="H482" i="11"/>
  <c r="J482" i="11" s="1"/>
  <c r="I482" i="11" l="1"/>
  <c r="C483" i="11" s="1"/>
  <c r="F482" i="11"/>
  <c r="G482" i="11" s="1"/>
  <c r="H483" i="11" l="1"/>
  <c r="J483" i="11" s="1"/>
  <c r="E483" i="11"/>
  <c r="I483" i="11" l="1"/>
  <c r="C484" i="11" s="1"/>
  <c r="F483" i="11"/>
  <c r="G483" i="11" s="1"/>
  <c r="H484" i="11" l="1"/>
  <c r="J484" i="11" s="1"/>
  <c r="E484" i="11"/>
  <c r="I484" i="11" l="1"/>
  <c r="C485" i="11" s="1"/>
  <c r="F484" i="11"/>
  <c r="G484" i="11" s="1"/>
  <c r="H485" i="11" l="1"/>
  <c r="J485" i="11" s="1"/>
  <c r="E485" i="11"/>
  <c r="I485" i="11" l="1"/>
  <c r="C486" i="11" s="1"/>
  <c r="F485" i="11"/>
  <c r="G485" i="11" s="1"/>
  <c r="H486" i="11" l="1"/>
  <c r="J486" i="11" s="1"/>
  <c r="E486" i="11"/>
  <c r="F486" i="11" l="1"/>
  <c r="G486" i="11" s="1"/>
  <c r="I486" i="11"/>
  <c r="C487" i="11" s="1"/>
  <c r="H487" i="11" l="1"/>
  <c r="J487" i="11" s="1"/>
  <c r="E487" i="11"/>
  <c r="F487" i="11" l="1"/>
  <c r="G487" i="11" s="1"/>
  <c r="I487" i="11"/>
  <c r="C488" i="11" s="1"/>
  <c r="H488" i="11" l="1"/>
  <c r="J488" i="11" s="1"/>
  <c r="E488" i="11"/>
  <c r="I488" i="11" l="1"/>
  <c r="C489" i="11" s="1"/>
  <c r="F488" i="11"/>
  <c r="G488" i="11" s="1"/>
  <c r="H489" i="11" l="1"/>
  <c r="J489" i="11" s="1"/>
  <c r="E489" i="11"/>
  <c r="F489" i="11" l="1"/>
  <c r="G489" i="11" s="1"/>
  <c r="I489" i="11"/>
  <c r="C490" i="11" s="1"/>
  <c r="H490" i="11" l="1"/>
  <c r="J490" i="11" s="1"/>
  <c r="E490" i="11"/>
  <c r="F490" i="11" l="1"/>
  <c r="G490" i="11" s="1"/>
  <c r="I490" i="11"/>
  <c r="C491" i="11" s="1"/>
  <c r="H491" i="11" l="1"/>
  <c r="J491" i="11" s="1"/>
  <c r="E491" i="11"/>
  <c r="F491" i="11" l="1"/>
  <c r="G491" i="11" s="1"/>
  <c r="I491" i="11"/>
  <c r="C492" i="11" s="1"/>
  <c r="E492" i="11" l="1"/>
  <c r="H492" i="11"/>
  <c r="J492" i="11" s="1"/>
  <c r="F492" i="11" l="1"/>
  <c r="G492" i="11" s="1"/>
  <c r="I492" i="11"/>
  <c r="C493" i="11" s="1"/>
  <c r="H493" i="11" l="1"/>
  <c r="J493" i="11" s="1"/>
  <c r="E493" i="11"/>
  <c r="F493" i="11" l="1"/>
  <c r="G493" i="11" s="1"/>
  <c r="I493" i="11"/>
  <c r="C494" i="11" s="1"/>
  <c r="H494" i="11" l="1"/>
  <c r="J494" i="11" s="1"/>
  <c r="E494" i="11"/>
  <c r="I494" i="11" l="1"/>
  <c r="C495" i="11" s="1"/>
  <c r="F494" i="11"/>
  <c r="G494" i="11" s="1"/>
  <c r="H495" i="11" l="1"/>
  <c r="J495" i="11" s="1"/>
  <c r="E495" i="11"/>
  <c r="I495" i="11" l="1"/>
  <c r="C496" i="11" s="1"/>
  <c r="F495" i="11"/>
  <c r="G495" i="11" s="1"/>
  <c r="H496" i="11" l="1"/>
  <c r="J496" i="11" s="1"/>
  <c r="E496" i="11"/>
  <c r="F496" i="11" l="1"/>
  <c r="G496" i="11" s="1"/>
  <c r="I496" i="11"/>
  <c r="C497" i="11" s="1"/>
  <c r="J8" i="11" l="1"/>
  <c r="J9" i="11"/>
  <c r="H497" i="11"/>
  <c r="J497" i="11" s="1"/>
  <c r="E497" i="11"/>
  <c r="F497" i="11" l="1"/>
  <c r="G497" i="11" s="1"/>
  <c r="I497" i="11"/>
  <c r="J7" i="11" s="1"/>
  <c r="O4" i="2" l="1"/>
  <c r="B7" i="6"/>
  <c r="J4" i="5"/>
  <c r="H4" i="5"/>
  <c r="D13" i="5"/>
  <c r="G10" i="4"/>
  <c r="I4" i="4"/>
  <c r="I5" i="4"/>
  <c r="I6" i="4"/>
  <c r="I7" i="4"/>
  <c r="I8" i="4"/>
  <c r="I9" i="4"/>
  <c r="I10" i="4"/>
  <c r="G6" i="4"/>
  <c r="L10" i="4"/>
  <c r="L6" i="4"/>
  <c r="M5" i="2"/>
  <c r="M4" i="2"/>
  <c r="L27" i="2"/>
  <c r="L26" i="2"/>
  <c r="K26" i="2"/>
  <c r="L25" i="2"/>
  <c r="K25" i="2"/>
  <c r="L24" i="2"/>
  <c r="K24" i="2"/>
  <c r="J5" i="5"/>
  <c r="K26" i="5"/>
  <c r="L26" i="5"/>
  <c r="L25" i="5"/>
  <c r="C38" i="5"/>
  <c r="K28" i="5"/>
  <c r="K23" i="5"/>
  <c r="L20" i="5"/>
  <c r="L23" i="5" s="1"/>
  <c r="K20" i="5"/>
  <c r="K18" i="5"/>
  <c r="H16" i="5"/>
  <c r="J10" i="5"/>
  <c r="D10" i="5"/>
  <c r="J9" i="5"/>
  <c r="D9" i="5"/>
  <c r="H5" i="5"/>
  <c r="J4" i="4"/>
  <c r="L4" i="4" s="1"/>
  <c r="J16" i="5" l="1"/>
  <c r="J8" i="4"/>
  <c r="G4" i="4"/>
  <c r="C5" i="4"/>
  <c r="C6" i="4"/>
  <c r="C7" i="4"/>
  <c r="C8" i="4"/>
  <c r="C9" i="4"/>
  <c r="D9" i="4" s="1"/>
  <c r="C10" i="4"/>
  <c r="C4" i="4"/>
  <c r="B5" i="4"/>
  <c r="B6" i="4"/>
  <c r="B7" i="4"/>
  <c r="B8" i="4"/>
  <c r="B9" i="4"/>
  <c r="B10" i="4"/>
  <c r="B4" i="4"/>
  <c r="C37" i="2"/>
  <c r="K27" i="2"/>
  <c r="L22" i="2"/>
  <c r="K22" i="2"/>
  <c r="L19" i="2"/>
  <c r="K19" i="2"/>
  <c r="K17" i="2"/>
  <c r="D10" i="2"/>
  <c r="J10" i="2" s="1"/>
  <c r="D9" i="2"/>
  <c r="D12" i="2" s="1"/>
  <c r="D15" i="2" s="1"/>
  <c r="J5" i="2"/>
  <c r="H5" i="2"/>
  <c r="D4" i="4" l="1"/>
  <c r="D7" i="4"/>
  <c r="L8" i="4"/>
  <c r="G8" i="4"/>
  <c r="D10" i="4"/>
  <c r="D6" i="4"/>
  <c r="D5" i="4"/>
  <c r="D8" i="4"/>
  <c r="C30" i="1"/>
  <c r="J9" i="2" l="1"/>
  <c r="J12" i="2" s="1"/>
  <c r="J15" i="2" s="1"/>
  <c r="H12" i="2"/>
  <c r="H15" i="2" s="1"/>
</calcChain>
</file>

<file path=xl/sharedStrings.xml><?xml version="1.0" encoding="utf-8"?>
<sst xmlns="http://schemas.openxmlformats.org/spreadsheetml/2006/main" count="344" uniqueCount="218">
  <si>
    <t>Salaire brute</t>
  </si>
  <si>
    <t>Salaire net</t>
  </si>
  <si>
    <t>CSP</t>
  </si>
  <si>
    <t>Licenciement</t>
  </si>
  <si>
    <t>Valeur locative Ternes</t>
  </si>
  <si>
    <t>Valeur locative Creteil</t>
  </si>
  <si>
    <t>%</t>
  </si>
  <si>
    <t>Indemnité licenciement</t>
  </si>
  <si>
    <t>Indemnité des CP</t>
  </si>
  <si>
    <t>Indemnité transaction</t>
  </si>
  <si>
    <t>Montant  ds l'indivision</t>
  </si>
  <si>
    <t>Part indivision</t>
  </si>
  <si>
    <t>Montant des actions détenues</t>
  </si>
  <si>
    <t xml:space="preserve">Limite de l'emprunt </t>
  </si>
  <si>
    <t>Total</t>
  </si>
  <si>
    <t>Echeance de prêt</t>
  </si>
  <si>
    <t xml:space="preserve">Capital restant du </t>
  </si>
  <si>
    <t>Date de fin</t>
  </si>
  <si>
    <t>Marc-Olivier</t>
  </si>
  <si>
    <t>Aurélie</t>
  </si>
  <si>
    <t>Capital</t>
  </si>
  <si>
    <t>Mensualité</t>
  </si>
  <si>
    <t>Assurance</t>
  </si>
  <si>
    <t>Peéavis</t>
  </si>
  <si>
    <t>Apports si csp</t>
  </si>
  <si>
    <t>Taux de succesion</t>
  </si>
  <si>
    <t>Montant emprunté</t>
  </si>
  <si>
    <t>Taux de succession</t>
  </si>
  <si>
    <t>Differentiel</t>
  </si>
  <si>
    <t xml:space="preserve">Coût de l'emprunt </t>
  </si>
  <si>
    <t>20 ans</t>
  </si>
  <si>
    <t>10 ans</t>
  </si>
  <si>
    <t>Montant des actions détenues SHELL PLC</t>
  </si>
  <si>
    <t xml:space="preserve">Total cession action </t>
  </si>
  <si>
    <t>Taux</t>
  </si>
  <si>
    <t>Assurance/mois</t>
  </si>
  <si>
    <t>Valeur locative Murat</t>
  </si>
  <si>
    <t>Limite pour le locatif</t>
  </si>
  <si>
    <t>Les charges locatives à déduire des loyers bruts</t>
  </si>
  <si>
    <t>La taxe foncière</t>
  </si>
  <si>
    <t>Les cotisations d’assurance de loyers impayés ou de garantie de risques locatifs</t>
  </si>
  <si>
    <t>Les commissions d’agence</t>
  </si>
  <si>
    <t>Les frais de syndic</t>
  </si>
  <si>
    <t>Les primes d’assurance de propriétaire non occupant</t>
  </si>
  <si>
    <r>
      <t>Les mensualités du prêt immobilier : nominal + intérêts </t>
    </r>
    <r>
      <rPr>
        <sz val="8"/>
        <color rgb="FF0A0A0A"/>
        <rFont val="Arial"/>
        <family val="2"/>
      </rPr>
      <t>(1)</t>
    </r>
  </si>
  <si>
    <t>Revenus locatifs</t>
  </si>
  <si>
    <t>Les différentes dépenses d’entretien et de réparation (charges de copropriété)</t>
  </si>
  <si>
    <t xml:space="preserve">Janvier </t>
  </si>
  <si>
    <t>Février</t>
  </si>
  <si>
    <t>Mars</t>
  </si>
  <si>
    <t>Avril</t>
  </si>
  <si>
    <t>Mai</t>
  </si>
  <si>
    <t>Juin</t>
  </si>
  <si>
    <t>Juillet</t>
  </si>
  <si>
    <t>Août</t>
  </si>
  <si>
    <t>Septembre</t>
  </si>
  <si>
    <t>Octobre</t>
  </si>
  <si>
    <t>Novembre</t>
  </si>
  <si>
    <t>Décembre</t>
  </si>
  <si>
    <t>Cumul</t>
  </si>
  <si>
    <t>15 rue Fourcroy</t>
  </si>
  <si>
    <t>Prix du bien</t>
  </si>
  <si>
    <t>PEG Groupe Airbus</t>
  </si>
  <si>
    <t>Epargne DS</t>
  </si>
  <si>
    <t>Epargne DS et justificatifs</t>
  </si>
  <si>
    <t>Actions 2025</t>
  </si>
  <si>
    <t>Transaction licenciement</t>
  </si>
  <si>
    <t>Disponibilité</t>
  </si>
  <si>
    <t>Pacs</t>
  </si>
  <si>
    <t>Fraction revenue</t>
  </si>
  <si>
    <t>Taux imposition</t>
  </si>
  <si>
    <t>Sans Pacs</t>
  </si>
  <si>
    <t>Part</t>
  </si>
  <si>
    <t>Net fiscal annuel</t>
  </si>
  <si>
    <t>Capacité d'emprunt</t>
  </si>
  <si>
    <t xml:space="preserve">Capacité d'emprunt résiduelle </t>
  </si>
  <si>
    <t>Parts</t>
  </si>
  <si>
    <t>Abattement</t>
  </si>
  <si>
    <t>Montant pour 2,5 parts</t>
  </si>
  <si>
    <t>Part MOM</t>
  </si>
  <si>
    <t>Part AS</t>
  </si>
  <si>
    <t>Montant pour ne pas changer de tranche</t>
  </si>
  <si>
    <t xml:space="preserve">Revenu a </t>
  </si>
  <si>
    <t>présenter</t>
  </si>
  <si>
    <t>Total MO</t>
  </si>
  <si>
    <t>Total AS</t>
  </si>
  <si>
    <t>Emprunt</t>
  </si>
  <si>
    <t>Prix du bien à financer</t>
  </si>
  <si>
    <t>ovintiv</t>
  </si>
  <si>
    <t>VH</t>
  </si>
  <si>
    <t>Qtité</t>
  </si>
  <si>
    <t>Prix de revient</t>
  </si>
  <si>
    <t>PV ou MV</t>
  </si>
  <si>
    <t>Etimations</t>
  </si>
  <si>
    <t>Cours</t>
  </si>
  <si>
    <t>Montant des actions détenues OVINTIV</t>
  </si>
  <si>
    <t>Abattement pour détention</t>
  </si>
  <si>
    <t>50% du montant de la PV</t>
  </si>
  <si>
    <t>65% du montant de la PV</t>
  </si>
  <si>
    <t>entre 2 et 8 ans</t>
  </si>
  <si>
    <t>au moins 8 ans</t>
  </si>
  <si>
    <t>CANADIAN PACIFIC</t>
  </si>
  <si>
    <t>CENOVUS ENERGY</t>
  </si>
  <si>
    <t xml:space="preserve">SHELL  </t>
  </si>
  <si>
    <t>Impots</t>
  </si>
  <si>
    <t>Abattements</t>
  </si>
  <si>
    <t>Frais 1,66%</t>
  </si>
  <si>
    <t>Total avec CANADIAN et CENOVUS</t>
  </si>
  <si>
    <t xml:space="preserve">Actions </t>
  </si>
  <si>
    <t>Solution 1</t>
  </si>
  <si>
    <t>Solution 2</t>
  </si>
  <si>
    <t>Solution 3</t>
  </si>
  <si>
    <t>Solution 4</t>
  </si>
  <si>
    <t>Solution 5</t>
  </si>
  <si>
    <t>Plan d'amortissement</t>
  </si>
  <si>
    <t>Entrer les valeurs</t>
  </si>
  <si>
    <t>Relevé des prêts</t>
  </si>
  <si>
    <t>Montant du prêt</t>
  </si>
  <si>
    <t>Échéancier</t>
  </si>
  <si>
    <t>Taux d'intérêt annuel</t>
  </si>
  <si>
    <t>Nombre de paiements programmés</t>
  </si>
  <si>
    <t>Durée du prêt en années</t>
  </si>
  <si>
    <t>Nombre de paiements effectifs</t>
  </si>
  <si>
    <t>Nombre de paiements par an</t>
  </si>
  <si>
    <t>Total des paiements par avance</t>
  </si>
  <si>
    <t>Date de début de prêt</t>
  </si>
  <si>
    <t>Total des intérêts</t>
  </si>
  <si>
    <t>Paiements supplémentaires en option</t>
  </si>
  <si>
    <t>Nom du prêteur :</t>
  </si>
  <si>
    <t>N° pmt</t>
  </si>
  <si>
    <t>Date de paiement</t>
  </si>
  <si>
    <t>Solde de départ</t>
  </si>
  <si>
    <t>Paiement supplémentaire</t>
  </si>
  <si>
    <t>Paiement total</t>
  </si>
  <si>
    <t>Principal</t>
  </si>
  <si>
    <t>Intérêt</t>
  </si>
  <si>
    <t>Solde final</t>
  </si>
  <si>
    <t>Intérêt cumulatif</t>
  </si>
  <si>
    <t xml:space="preserve">Projection de flux de trésorerie </t>
  </si>
  <si>
    <t>Date de début</t>
  </si>
  <si>
    <t>Alerte minimum solde trésorerie</t>
  </si>
  <si>
    <t>Début</t>
  </si>
  <si>
    <t>janv.-26</t>
  </si>
  <si>
    <t>févr.-26</t>
  </si>
  <si>
    <t>mars-26</t>
  </si>
  <si>
    <t>avr.-26</t>
  </si>
  <si>
    <t>mai-26</t>
  </si>
  <si>
    <t>juin-26</t>
  </si>
  <si>
    <t>juil.-26</t>
  </si>
  <si>
    <t>août-26</t>
  </si>
  <si>
    <t>sept.-26</t>
  </si>
  <si>
    <t>oct.-26</t>
  </si>
  <si>
    <t>nov.-26</t>
  </si>
  <si>
    <t>déc.-26</t>
  </si>
  <si>
    <t>Trésorerie disponible (début du mois)</t>
  </si>
  <si>
    <t>Aurélie Schnell</t>
  </si>
  <si>
    <t>Marc-Olivier Moulet</t>
  </si>
  <si>
    <t>ENCAISSEMENTS</t>
  </si>
  <si>
    <t xml:space="preserve"> </t>
  </si>
  <si>
    <t>Ventes au comptant</t>
  </si>
  <si>
    <t>Rendements et provisions</t>
  </si>
  <si>
    <t>Collections sur compte débiteurs</t>
  </si>
  <si>
    <t>Intérêt, autres revenus</t>
  </si>
  <si>
    <t>Produits du prêt</t>
  </si>
  <si>
    <t>Contributions propriétaire</t>
  </si>
  <si>
    <t>TOTAL ENCAISSEMENTS</t>
  </si>
  <si>
    <t>Trésorerie totale disponible</t>
  </si>
  <si>
    <t>Décaissements</t>
  </si>
  <si>
    <t>Publicité</t>
  </si>
  <si>
    <t>Commissions et frais</t>
  </si>
  <si>
    <t>Main-d’œuvre contractuelle</t>
  </si>
  <si>
    <t>Régimes d’avantages sociaux</t>
  </si>
  <si>
    <t>Assurance (autres que la santé)</t>
  </si>
  <si>
    <t>Dépenses intérêt</t>
  </si>
  <si>
    <t>Ressources et fournitures (en variation stock)</t>
  </si>
  <si>
    <t>Repas et loisirs</t>
  </si>
  <si>
    <t>Intérêt d’emprunt immobilier</t>
  </si>
  <si>
    <t>Frais de bureau</t>
  </si>
  <si>
    <t>Autres dépenses intérêt</t>
  </si>
  <si>
    <t>Plan retraite et partage de profit</t>
  </si>
  <si>
    <t>Achats pour la revente</t>
  </si>
  <si>
    <t>Loyer ou location</t>
  </si>
  <si>
    <t>Loyer ou location: véhicules, équipements</t>
  </si>
  <si>
    <t>Réparations et entretien</t>
  </si>
  <si>
    <t>Fournitures (et non dans val)</t>
  </si>
  <si>
    <t>Taxes et licences</t>
  </si>
  <si>
    <t>Déplacements</t>
  </si>
  <si>
    <t>Eau, électricité et gaz</t>
  </si>
  <si>
    <t>Salaires (moins crédits emp.)</t>
  </si>
  <si>
    <t>Autres frais</t>
  </si>
  <si>
    <t>Divers</t>
  </si>
  <si>
    <t>SOUS-TOTAL</t>
  </si>
  <si>
    <t>janv.-18</t>
  </si>
  <si>
    <t>févr.-18</t>
  </si>
  <si>
    <t>mars-18</t>
  </si>
  <si>
    <t>avr.-18</t>
  </si>
  <si>
    <t>mai-18</t>
  </si>
  <si>
    <t>juin-18</t>
  </si>
  <si>
    <t>juil.-18</t>
  </si>
  <si>
    <t>août-18</t>
  </si>
  <si>
    <t>sept.-18</t>
  </si>
  <si>
    <t>oct.-18</t>
  </si>
  <si>
    <t>nov.-18</t>
  </si>
  <si>
    <t>déc.-18</t>
  </si>
  <si>
    <t>Remboursement du capital d’un prêt</t>
  </si>
  <si>
    <t>Achats en capitaux</t>
  </si>
  <si>
    <t>Autres frais d’établissement</t>
  </si>
  <si>
    <t>Compte sous séquestre</t>
  </si>
  <si>
    <t>Retrait personnel du propriétaire</t>
  </si>
  <si>
    <t>TOTAL DÉCAISSEMENTS</t>
  </si>
  <si>
    <t>Trésorerie disponible (fin de mois)</t>
  </si>
  <si>
    <t>AUTRES DONNÉES D’EXPLOITATION</t>
  </si>
  <si>
    <t>Volume des ventes (dollars)</t>
  </si>
  <si>
    <t>Solde comptes clients</t>
  </si>
  <si>
    <t>Solde de mauvaises créances</t>
  </si>
  <si>
    <t>Inventaire disponible</t>
  </si>
  <si>
    <t>Comptes fournisseurs</t>
  </si>
  <si>
    <t>Amortissement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</si>
</sst>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43" formatCode="_-* #,##0.00_-;\-* #,##0.00_-;_-* &quot;-&quot;??_-;_-@_-"/>
    <numFmt numFmtId="164" formatCode="_-* #,##0_-;\-* #,##0_-;_-* &quot;-&quot;??_-;_-@_-"/>
    <numFmt numFmtId="165" formatCode="_-* #,##0.0_-;\-* #,##0.0_-;_-* &quot;-&quot;??_-;_-@_-"/>
    <numFmt numFmtId="166" formatCode="_-* #,##0\ &quot;€&quot;_-;\-* #,##0\ &quot;€&quot;_-;_-* &quot;-&quot;??\ &quot;€&quot;_-;_-@_-"/>
    <numFmt numFmtId="167" formatCode="#,##0.00\ &quot;€&quot;"/>
    <numFmt numFmtId="168" formatCode="_-* #,##0.00\ _€_-;\-* #,##0.00\ _€_-;_-* &quot;-&quot;??\ _€_-;_-@_-"/>
    <numFmt numFmtId="169" formatCode="#,##0\ &quot;€&quot;"/>
    <numFmt numFmtId="170" formatCode="0.00?%_)"/>
    <numFmt numFmtId="171" formatCode="0_)"/>
    <numFmt numFmtId="172" formatCode="0.0%"/>
    <numFmt numFmtId="173" formatCode="[$-40C]mmm\-yy;@"/>
  </numFmts>
  <fonts count="3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4"/>
      <color rgb="FF2886AF"/>
      <name val="Arial"/>
      <family val="2"/>
    </font>
    <font>
      <sz val="10"/>
      <color rgb="FF0A0A0A"/>
      <name val="Arial"/>
      <family val="2"/>
    </font>
    <font>
      <sz val="8"/>
      <color rgb="FF0A0A0A"/>
      <name val="Arial"/>
      <family val="2"/>
    </font>
    <font>
      <b/>
      <sz val="10"/>
      <color rgb="FF0A0A0A"/>
      <name val="Arial"/>
      <family val="2"/>
    </font>
    <font>
      <b/>
      <i/>
      <sz val="11"/>
      <color theme="1"/>
      <name val="Calibri"/>
      <family val="2"/>
      <scheme val="minor"/>
    </font>
    <font>
      <sz val="10"/>
      <name val="Calibri"/>
      <family val="1"/>
      <scheme val="minor"/>
    </font>
    <font>
      <b/>
      <sz val="18"/>
      <name val="Calibri Light"/>
      <family val="2"/>
      <scheme val="major"/>
    </font>
    <font>
      <sz val="11"/>
      <color theme="1"/>
      <name val="Agency FB"/>
      <family val="2"/>
    </font>
    <font>
      <b/>
      <sz val="10"/>
      <color theme="1"/>
      <name val="Calibri"/>
      <family val="1"/>
      <scheme val="minor"/>
    </font>
    <font>
      <sz val="11"/>
      <color rgb="FF3F3F76"/>
      <name val="Agency FB"/>
      <family val="2"/>
    </font>
    <font>
      <sz val="10"/>
      <color rgb="FF3F3F76"/>
      <name val="Calibri"/>
      <family val="1"/>
      <scheme val="minor"/>
    </font>
    <font>
      <b/>
      <sz val="11"/>
      <color rgb="FFFA7D00"/>
      <name val="Agency FB"/>
      <family val="2"/>
    </font>
    <font>
      <b/>
      <sz val="10"/>
      <color rgb="FFFA7D00"/>
      <name val="Calibri"/>
      <family val="1"/>
      <scheme val="minor"/>
    </font>
    <font>
      <b/>
      <sz val="10"/>
      <name val="Calibri"/>
      <family val="1"/>
      <scheme val="minor"/>
    </font>
    <font>
      <sz val="11"/>
      <color theme="1"/>
      <name val="Calibri"/>
      <family val="1"/>
      <scheme val="minor"/>
    </font>
    <font>
      <sz val="10"/>
      <color indexed="23"/>
      <name val="Calibri"/>
      <family val="1"/>
      <scheme val="minor"/>
    </font>
    <font>
      <sz val="10"/>
      <name val="Arial"/>
      <family val="2"/>
    </font>
    <font>
      <sz val="8"/>
      <name val="Arial"/>
      <family val="2"/>
    </font>
    <font>
      <sz val="8"/>
      <name val="Calibri"/>
      <family val="2"/>
      <scheme val="minor"/>
    </font>
    <font>
      <b/>
      <sz val="14"/>
      <color theme="1" tint="0.249977111117893"/>
      <name val="Calibri Light"/>
      <family val="2"/>
      <scheme val="major"/>
    </font>
    <font>
      <sz val="10"/>
      <name val="Calibri"/>
      <family val="2"/>
      <scheme val="minor"/>
    </font>
    <font>
      <sz val="8"/>
      <color theme="0"/>
      <name val="Calibri"/>
      <family val="2"/>
      <scheme val="minor"/>
    </font>
    <font>
      <b/>
      <sz val="10"/>
      <name val="Calibri"/>
      <family val="2"/>
      <scheme val="minor"/>
    </font>
    <font>
      <b/>
      <sz val="8"/>
      <name val="Calibri"/>
      <family val="2"/>
      <scheme val="minor"/>
    </font>
    <font>
      <b/>
      <sz val="8"/>
      <color theme="0"/>
      <name val="Calibri"/>
      <family val="2"/>
      <scheme val="minor"/>
    </font>
    <font>
      <sz val="8"/>
      <color theme="0" tint="-0.249977111117893"/>
      <name val="Calibri"/>
      <family val="2"/>
      <scheme val="minor"/>
    </font>
    <font>
      <b/>
      <sz val="8"/>
      <color theme="1"/>
      <name val="Calibri"/>
      <family val="2"/>
      <scheme val="minor"/>
    </font>
    <font>
      <b/>
      <sz val="8"/>
      <color theme="0" tint="-0.249977111117893"/>
      <name val="Calibri"/>
      <family val="2"/>
      <scheme val="minor"/>
    </font>
  </fonts>
  <fills count="25">
    <fill>
      <patternFill patternType="none"/>
    </fill>
    <fill>
      <patternFill patternType="gray125"/>
    </fill>
    <fill>
      <patternFill patternType="solid">
        <fgColor theme="4" tint="0.59999389629810485"/>
        <bgColor indexed="64"/>
      </patternFill>
    </fill>
    <fill>
      <patternFill patternType="solid">
        <fgColor theme="6" tint="0.39997558519241921"/>
        <bgColor indexed="64"/>
      </patternFill>
    </fill>
    <fill>
      <patternFill patternType="solid">
        <fgColor rgb="FFFFCC99"/>
      </patternFill>
    </fill>
    <fill>
      <patternFill patternType="solid">
        <fgColor rgb="FFF2F2F2"/>
      </patternFill>
    </fill>
    <fill>
      <patternFill patternType="solid">
        <fgColor theme="7"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rgb="FFFF000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4" tint="-0.249977111117893"/>
        <bgColor indexed="64"/>
      </patternFill>
    </fill>
    <fill>
      <patternFill patternType="solid">
        <fgColor indexed="9"/>
      </patternFill>
    </fill>
    <fill>
      <patternFill patternType="solid">
        <fgColor theme="6" tint="0.79998168889431442"/>
        <bgColor theme="6" tint="0.79998168889431442"/>
      </patternFill>
    </fill>
    <fill>
      <patternFill patternType="solid">
        <fgColor theme="9" tint="0.79998168889431442"/>
        <bgColor indexed="64"/>
      </patternFill>
    </fill>
    <fill>
      <patternFill patternType="solid">
        <fgColor theme="1" tint="0.499984740745262"/>
        <bgColor indexed="64"/>
      </patternFill>
    </fill>
    <fill>
      <patternFill patternType="solid">
        <fgColor theme="0" tint="-4.9989318521683403E-2"/>
        <bgColor indexed="64"/>
      </patternFill>
    </fill>
    <fill>
      <patternFill patternType="lightUp">
        <bgColor indexed="22"/>
      </patternFill>
    </fill>
    <fill>
      <patternFill patternType="solid">
        <fgColor theme="0"/>
        <bgColor indexed="64"/>
      </patternFill>
    </fill>
    <fill>
      <patternFill patternType="solid">
        <fgColor theme="0" tint="-0.249977111117893"/>
        <bgColor indexed="64"/>
      </patternFill>
    </fill>
  </fills>
  <borders count="27">
    <border>
      <left/>
      <right/>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16"/>
      </bottom>
      <diagonal/>
    </border>
    <border>
      <left style="hair">
        <color indexed="16"/>
      </left>
      <right/>
      <top style="hair">
        <color indexed="16"/>
      </top>
      <bottom style="hair">
        <color indexed="16"/>
      </bottom>
      <diagonal/>
    </border>
    <border>
      <left/>
      <right/>
      <top style="hair">
        <color indexed="16"/>
      </top>
      <bottom style="hair">
        <color indexed="16"/>
      </bottom>
      <diagonal/>
    </border>
    <border>
      <left/>
      <right style="hair">
        <color indexed="16"/>
      </right>
      <top style="hair">
        <color indexed="16"/>
      </top>
      <bottom style="hair">
        <color indexed="16"/>
      </bottom>
      <diagonal/>
    </border>
    <border>
      <left style="hair">
        <color indexed="16"/>
      </left>
      <right/>
      <top/>
      <bottom/>
      <diagonal/>
    </border>
    <border>
      <left style="hair">
        <color indexed="16"/>
      </left>
      <right/>
      <top/>
      <bottom style="hair">
        <color indexed="16"/>
      </bottom>
      <diagonal/>
    </border>
    <border>
      <left style="hair">
        <color indexed="16"/>
      </left>
      <right/>
      <top style="hair">
        <color indexed="16"/>
      </top>
      <bottom/>
      <diagonal/>
    </border>
    <border>
      <left/>
      <right style="hair">
        <color indexed="16"/>
      </right>
      <top style="hair">
        <color indexed="16"/>
      </top>
      <bottom/>
      <diagonal/>
    </border>
    <border>
      <left/>
      <right/>
      <top style="hair">
        <color indexed="16"/>
      </top>
      <bottom/>
      <diagonal/>
    </border>
    <border>
      <left/>
      <right/>
      <top style="thin">
        <color indexed="23"/>
      </top>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9" fillId="0" borderId="0"/>
    <xf numFmtId="0" fontId="11" fillId="18" borderId="0" applyNumberFormat="0" applyBorder="0" applyAlignment="0" applyProtection="0"/>
    <xf numFmtId="0" fontId="13" fillId="4" borderId="2" applyNumberFormat="0" applyAlignment="0" applyProtection="0"/>
    <xf numFmtId="0" fontId="15" fillId="5" borderId="2" applyNumberFormat="0" applyAlignment="0" applyProtection="0"/>
    <xf numFmtId="44" fontId="20" fillId="0" borderId="0" applyFont="0" applyFill="0" applyBorder="0" applyAlignment="0" applyProtection="0"/>
    <xf numFmtId="0" fontId="21" fillId="0" borderId="0">
      <alignment wrapText="1"/>
    </xf>
  </cellStyleXfs>
  <cellXfs count="257">
    <xf numFmtId="0" fontId="0" fillId="0" borderId="0" xfId="0"/>
    <xf numFmtId="0" fontId="0" fillId="0" borderId="0" xfId="0" applyAlignment="1">
      <alignment wrapText="1"/>
    </xf>
    <xf numFmtId="43" fontId="0" fillId="0" borderId="0" xfId="1" applyFont="1"/>
    <xf numFmtId="164" fontId="0" fillId="0" borderId="0" xfId="1" applyNumberFormat="1" applyFont="1"/>
    <xf numFmtId="0" fontId="0" fillId="0" borderId="0" xfId="0" applyAlignment="1">
      <alignment horizontal="left"/>
    </xf>
    <xf numFmtId="0" fontId="0" fillId="2" borderId="0" xfId="0" applyFill="1" applyAlignment="1">
      <alignment wrapText="1"/>
    </xf>
    <xf numFmtId="0" fontId="0" fillId="2" borderId="0" xfId="0" applyFill="1"/>
    <xf numFmtId="0" fontId="0" fillId="3" borderId="0" xfId="0" applyFill="1"/>
    <xf numFmtId="9" fontId="0" fillId="0" borderId="0" xfId="1" applyNumberFormat="1" applyFont="1"/>
    <xf numFmtId="0" fontId="0" fillId="0" borderId="0" xfId="0" applyBorder="1"/>
    <xf numFmtId="43" fontId="0" fillId="0" borderId="0" xfId="1" applyFont="1" applyBorder="1"/>
    <xf numFmtId="164" fontId="0" fillId="0" borderId="0" xfId="1" applyNumberFormat="1" applyFont="1" applyBorder="1"/>
    <xf numFmtId="0" fontId="0" fillId="0" borderId="1" xfId="0" applyBorder="1"/>
    <xf numFmtId="43" fontId="0" fillId="0" borderId="1" xfId="1" applyFont="1" applyBorder="1"/>
    <xf numFmtId="164" fontId="0" fillId="0" borderId="1" xfId="1" applyNumberFormat="1" applyFont="1" applyBorder="1"/>
    <xf numFmtId="14" fontId="0" fillId="0" borderId="0" xfId="0" applyNumberFormat="1"/>
    <xf numFmtId="164" fontId="0" fillId="0" borderId="0" xfId="0" applyNumberFormat="1"/>
    <xf numFmtId="9" fontId="0" fillId="0" borderId="0" xfId="3" applyFont="1"/>
    <xf numFmtId="0" fontId="4" fillId="0" borderId="0" xfId="0" applyFont="1" applyAlignment="1">
      <alignment vertical="center" wrapText="1"/>
    </xf>
    <xf numFmtId="0" fontId="5" fillId="0" borderId="0" xfId="0" applyFont="1" applyAlignment="1">
      <alignment vertical="center" wrapText="1"/>
    </xf>
    <xf numFmtId="0" fontId="0" fillId="0" borderId="0" xfId="0" applyAlignment="1">
      <alignment horizontal="left" vertical="center" wrapText="1" indent="1"/>
    </xf>
    <xf numFmtId="0" fontId="5" fillId="0" borderId="0" xfId="0" applyFont="1" applyAlignment="1">
      <alignment horizontal="left" vertical="center" wrapText="1" indent="1"/>
    </xf>
    <xf numFmtId="0" fontId="7" fillId="0" borderId="0" xfId="0" applyFont="1" applyAlignment="1">
      <alignment vertical="center" wrapText="1"/>
    </xf>
    <xf numFmtId="164" fontId="5" fillId="0" borderId="0" xfId="1" applyNumberFormat="1" applyFont="1" applyAlignment="1">
      <alignment vertical="center" wrapText="1"/>
    </xf>
    <xf numFmtId="164" fontId="0" fillId="0" borderId="0" xfId="1" applyNumberFormat="1" applyFont="1" applyAlignment="1">
      <alignment horizontal="left" vertical="center" wrapText="1" indent="1"/>
    </xf>
    <xf numFmtId="164" fontId="5" fillId="0" borderId="0" xfId="1" applyNumberFormat="1" applyFont="1" applyAlignment="1">
      <alignment horizontal="left" vertical="center" wrapText="1" indent="1"/>
    </xf>
    <xf numFmtId="0" fontId="0" fillId="8" borderId="0" xfId="0" applyFill="1"/>
    <xf numFmtId="0" fontId="0" fillId="0" borderId="0" xfId="0"/>
    <xf numFmtId="0" fontId="0" fillId="0" borderId="0" xfId="0" applyBorder="1"/>
    <xf numFmtId="0" fontId="0" fillId="0" borderId="1" xfId="0" applyBorder="1"/>
    <xf numFmtId="0" fontId="0" fillId="0" borderId="4" xfId="0" applyBorder="1"/>
    <xf numFmtId="0" fontId="0" fillId="0" borderId="5" xfId="0" applyBorder="1"/>
    <xf numFmtId="0" fontId="0" fillId="0" borderId="6" xfId="0" applyBorder="1"/>
    <xf numFmtId="164" fontId="0" fillId="0" borderId="7" xfId="1" applyNumberFormat="1" applyFont="1" applyBorder="1"/>
    <xf numFmtId="9" fontId="0" fillId="0" borderId="8" xfId="3" applyFont="1" applyBorder="1"/>
    <xf numFmtId="164" fontId="0" fillId="0" borderId="9" xfId="1" applyNumberFormat="1" applyFont="1" applyBorder="1"/>
    <xf numFmtId="9" fontId="0" fillId="0" borderId="10" xfId="3" applyFont="1" applyBorder="1"/>
    <xf numFmtId="0" fontId="0" fillId="9" borderId="4" xfId="0" applyFill="1" applyBorder="1"/>
    <xf numFmtId="0" fontId="0" fillId="9" borderId="5" xfId="0" applyFill="1" applyBorder="1"/>
    <xf numFmtId="0" fontId="0" fillId="9" borderId="6" xfId="0" applyFill="1" applyBorder="1"/>
    <xf numFmtId="43" fontId="0" fillId="0" borderId="0" xfId="0" applyNumberFormat="1"/>
    <xf numFmtId="0" fontId="0" fillId="9" borderId="0" xfId="0" applyFill="1"/>
    <xf numFmtId="43" fontId="0" fillId="9" borderId="0" xfId="1" applyFont="1" applyFill="1"/>
    <xf numFmtId="43" fontId="0" fillId="9" borderId="0" xfId="0" applyNumberFormat="1" applyFill="1"/>
    <xf numFmtId="168" fontId="0" fillId="0" borderId="0" xfId="0" applyNumberFormat="1"/>
    <xf numFmtId="43" fontId="0" fillId="10" borderId="0" xfId="1" applyFont="1" applyFill="1" applyBorder="1"/>
    <xf numFmtId="9" fontId="0" fillId="0" borderId="0" xfId="3" applyFont="1" applyBorder="1"/>
    <xf numFmtId="164" fontId="0" fillId="0" borderId="8" xfId="1" applyNumberFormat="1" applyFont="1" applyBorder="1"/>
    <xf numFmtId="9" fontId="0" fillId="0" borderId="1" xfId="3" applyFont="1" applyBorder="1"/>
    <xf numFmtId="164" fontId="0" fillId="0" borderId="10" xfId="1" applyNumberFormat="1" applyFont="1" applyBorder="1"/>
    <xf numFmtId="0" fontId="0" fillId="0" borderId="0" xfId="0" applyAlignment="1"/>
    <xf numFmtId="164" fontId="0" fillId="0" borderId="6" xfId="1" applyNumberFormat="1" applyFont="1" applyBorder="1"/>
    <xf numFmtId="0" fontId="0" fillId="0" borderId="9" xfId="0" applyBorder="1" applyAlignment="1">
      <alignment wrapText="1"/>
    </xf>
    <xf numFmtId="165" fontId="0" fillId="0" borderId="10" xfId="1" applyNumberFormat="1" applyFont="1" applyBorder="1"/>
    <xf numFmtId="164" fontId="0" fillId="0" borderId="1" xfId="0" applyNumberFormat="1" applyBorder="1"/>
    <xf numFmtId="0" fontId="3" fillId="7" borderId="4" xfId="0" applyFont="1" applyFill="1" applyBorder="1"/>
    <xf numFmtId="0" fontId="3" fillId="7" borderId="5" xfId="0" applyFont="1" applyFill="1" applyBorder="1"/>
    <xf numFmtId="0" fontId="3" fillId="7" borderId="9" xfId="0" applyFont="1" applyFill="1" applyBorder="1"/>
    <xf numFmtId="9" fontId="3" fillId="7" borderId="1" xfId="0" applyNumberFormat="1" applyFont="1" applyFill="1" applyBorder="1" applyAlignment="1">
      <alignment wrapText="1"/>
    </xf>
    <xf numFmtId="0" fontId="3" fillId="7" borderId="1" xfId="0" applyFont="1" applyFill="1" applyBorder="1"/>
    <xf numFmtId="0" fontId="3" fillId="6" borderId="1" xfId="0" applyFont="1" applyFill="1" applyBorder="1"/>
    <xf numFmtId="0" fontId="3" fillId="6" borderId="10" xfId="0" applyFont="1" applyFill="1" applyBorder="1"/>
    <xf numFmtId="164" fontId="0" fillId="0" borderId="4" xfId="1" applyNumberFormat="1" applyFont="1" applyBorder="1"/>
    <xf numFmtId="164" fontId="0" fillId="0" borderId="5" xfId="0" applyNumberFormat="1" applyBorder="1"/>
    <xf numFmtId="164" fontId="0" fillId="0" borderId="5" xfId="1" applyNumberFormat="1" applyFont="1" applyBorder="1"/>
    <xf numFmtId="164" fontId="0" fillId="0" borderId="0" xfId="0" applyNumberFormat="1" applyBorder="1"/>
    <xf numFmtId="9" fontId="0" fillId="0" borderId="5" xfId="3" applyFont="1" applyBorder="1"/>
    <xf numFmtId="0" fontId="3" fillId="11" borderId="5" xfId="0" applyFont="1" applyFill="1" applyBorder="1" applyAlignment="1">
      <alignment horizontal="center"/>
    </xf>
    <xf numFmtId="0" fontId="3" fillId="11" borderId="1" xfId="0" applyFont="1" applyFill="1" applyBorder="1"/>
    <xf numFmtId="0" fontId="3" fillId="11" borderId="1" xfId="0" applyFont="1" applyFill="1" applyBorder="1" applyAlignment="1">
      <alignment horizontal="center"/>
    </xf>
    <xf numFmtId="0" fontId="3" fillId="12" borderId="11" xfId="0" applyFont="1" applyFill="1" applyBorder="1"/>
    <xf numFmtId="0" fontId="3" fillId="12" borderId="12" xfId="0" applyFont="1" applyFill="1" applyBorder="1"/>
    <xf numFmtId="167" fontId="0" fillId="0" borderId="13" xfId="1" applyNumberFormat="1" applyFont="1" applyBorder="1"/>
    <xf numFmtId="167" fontId="0" fillId="0" borderId="12" xfId="1" applyNumberFormat="1" applyFont="1" applyBorder="1"/>
    <xf numFmtId="0" fontId="3" fillId="6" borderId="6" xfId="0" applyFont="1" applyFill="1" applyBorder="1" applyAlignment="1">
      <alignment horizontal="center"/>
    </xf>
    <xf numFmtId="0" fontId="3" fillId="6" borderId="9" xfId="0" applyFont="1" applyFill="1" applyBorder="1"/>
    <xf numFmtId="0" fontId="3" fillId="6" borderId="10" xfId="0" applyFont="1" applyFill="1" applyBorder="1" applyAlignment="1">
      <alignment horizontal="center"/>
    </xf>
    <xf numFmtId="166" fontId="0" fillId="0" borderId="0" xfId="2" applyNumberFormat="1" applyFont="1" applyBorder="1"/>
    <xf numFmtId="166" fontId="0" fillId="0" borderId="1" xfId="2" applyNumberFormat="1" applyFont="1" applyBorder="1"/>
    <xf numFmtId="169" fontId="0" fillId="0" borderId="0" xfId="0" applyNumberFormat="1" applyBorder="1"/>
    <xf numFmtId="169" fontId="0" fillId="0" borderId="1" xfId="0" applyNumberFormat="1" applyBorder="1"/>
    <xf numFmtId="0" fontId="8" fillId="0" borderId="0" xfId="0" applyFont="1"/>
    <xf numFmtId="0" fontId="3" fillId="2" borderId="14" xfId="0" applyFont="1" applyFill="1" applyBorder="1" applyAlignment="1">
      <alignment horizontal="center"/>
    </xf>
    <xf numFmtId="0" fontId="3" fillId="2" borderId="15" xfId="0" applyFont="1" applyFill="1" applyBorder="1" applyAlignment="1">
      <alignment horizontal="center"/>
    </xf>
    <xf numFmtId="0" fontId="3" fillId="13" borderId="15" xfId="0" applyFont="1" applyFill="1" applyBorder="1" applyAlignment="1">
      <alignment horizontal="center"/>
    </xf>
    <xf numFmtId="0" fontId="3" fillId="0" borderId="0" xfId="0" applyFont="1" applyAlignment="1">
      <alignment horizontal="center"/>
    </xf>
    <xf numFmtId="0" fontId="3" fillId="2" borderId="16" xfId="0" applyFont="1" applyFill="1" applyBorder="1" applyAlignment="1">
      <alignment horizontal="center"/>
    </xf>
    <xf numFmtId="0" fontId="0" fillId="0" borderId="7" xfId="0" applyBorder="1"/>
    <xf numFmtId="0" fontId="0" fillId="0" borderId="9" xfId="0" applyBorder="1"/>
    <xf numFmtId="0" fontId="3" fillId="13" borderId="14" xfId="0" applyFont="1" applyFill="1" applyBorder="1" applyAlignment="1">
      <alignment horizontal="center"/>
    </xf>
    <xf numFmtId="0" fontId="3" fillId="13" borderId="16" xfId="0" applyFont="1" applyFill="1" applyBorder="1" applyAlignment="1">
      <alignment horizontal="center"/>
    </xf>
    <xf numFmtId="0" fontId="0" fillId="0" borderId="8" xfId="0" applyBorder="1"/>
    <xf numFmtId="0" fontId="0" fillId="0" borderId="10" xfId="0" applyBorder="1"/>
    <xf numFmtId="0" fontId="0" fillId="0" borderId="13" xfId="0" applyBorder="1"/>
    <xf numFmtId="0" fontId="0" fillId="0" borderId="12" xfId="0" applyBorder="1"/>
    <xf numFmtId="43" fontId="0" fillId="0" borderId="8" xfId="1" applyFont="1" applyBorder="1"/>
    <xf numFmtId="43" fontId="0" fillId="0" borderId="10" xfId="1" applyFont="1" applyBorder="1"/>
    <xf numFmtId="43" fontId="0" fillId="0" borderId="13" xfId="1" applyFont="1" applyBorder="1"/>
    <xf numFmtId="43" fontId="0" fillId="0" borderId="12" xfId="1" applyFont="1" applyBorder="1"/>
    <xf numFmtId="164" fontId="0" fillId="0" borderId="0" xfId="1" applyNumberFormat="1" applyFont="1" applyFill="1" applyBorder="1"/>
    <xf numFmtId="0" fontId="3" fillId="14" borderId="14" xfId="0" applyFont="1" applyFill="1" applyBorder="1" applyAlignment="1">
      <alignment horizontal="center"/>
    </xf>
    <xf numFmtId="164" fontId="0" fillId="0" borderId="1" xfId="1" applyNumberFormat="1" applyFont="1" applyFill="1" applyBorder="1"/>
    <xf numFmtId="0" fontId="3" fillId="12" borderId="3" xfId="0" applyFont="1" applyFill="1" applyBorder="1" applyAlignment="1">
      <alignment horizontal="center"/>
    </xf>
    <xf numFmtId="0" fontId="3" fillId="12" borderId="16" xfId="0" applyFont="1" applyFill="1" applyBorder="1" applyAlignment="1">
      <alignment horizontal="center"/>
    </xf>
    <xf numFmtId="0" fontId="8" fillId="0" borderId="7" xfId="0" applyFont="1" applyBorder="1"/>
    <xf numFmtId="0" fontId="8" fillId="0" borderId="0" xfId="0" applyFont="1" applyBorder="1"/>
    <xf numFmtId="164" fontId="8" fillId="0" borderId="0" xfId="0" applyNumberFormat="1" applyFont="1" applyBorder="1"/>
    <xf numFmtId="164" fontId="8" fillId="0" borderId="13" xfId="0" applyNumberFormat="1" applyFont="1" applyBorder="1"/>
    <xf numFmtId="164" fontId="8" fillId="0" borderId="8" xfId="0" applyNumberFormat="1" applyFont="1" applyBorder="1"/>
    <xf numFmtId="43" fontId="8" fillId="0" borderId="8" xfId="1" applyFont="1" applyBorder="1"/>
    <xf numFmtId="43" fontId="8" fillId="0" borderId="0" xfId="1" applyFont="1" applyBorder="1"/>
    <xf numFmtId="0" fontId="0" fillId="0" borderId="11" xfId="0" applyBorder="1"/>
    <xf numFmtId="43" fontId="0" fillId="0" borderId="6" xfId="1" applyFont="1" applyBorder="1"/>
    <xf numFmtId="0" fontId="8" fillId="0" borderId="9" xfId="0" applyFont="1" applyBorder="1"/>
    <xf numFmtId="0" fontId="8" fillId="0" borderId="1" xfId="0" applyFont="1" applyBorder="1"/>
    <xf numFmtId="164" fontId="8" fillId="0" borderId="1" xfId="0" applyNumberFormat="1" applyFont="1" applyBorder="1"/>
    <xf numFmtId="164" fontId="8" fillId="0" borderId="12" xfId="0" applyNumberFormat="1" applyFont="1" applyBorder="1"/>
    <xf numFmtId="164" fontId="8" fillId="0" borderId="10" xfId="0" applyNumberFormat="1" applyFont="1" applyBorder="1"/>
    <xf numFmtId="43" fontId="8" fillId="0" borderId="10" xfId="1" applyFont="1" applyBorder="1"/>
    <xf numFmtId="0" fontId="3" fillId="0" borderId="4" xfId="0" applyFont="1" applyBorder="1"/>
    <xf numFmtId="169" fontId="3" fillId="0" borderId="5" xfId="0" applyNumberFormat="1" applyFont="1" applyBorder="1"/>
    <xf numFmtId="169" fontId="3" fillId="0" borderId="6" xfId="0" applyNumberFormat="1" applyFont="1" applyBorder="1"/>
    <xf numFmtId="169" fontId="0" fillId="0" borderId="8" xfId="0" applyNumberFormat="1" applyBorder="1"/>
    <xf numFmtId="169" fontId="0" fillId="0" borderId="10" xfId="0" applyNumberFormat="1" applyBorder="1"/>
    <xf numFmtId="169" fontId="8" fillId="0" borderId="0" xfId="0" applyNumberFormat="1" applyFont="1" applyBorder="1"/>
    <xf numFmtId="169" fontId="8" fillId="0" borderId="8" xfId="0" applyNumberFormat="1" applyFont="1" applyBorder="1"/>
    <xf numFmtId="169" fontId="0" fillId="0" borderId="0" xfId="1" applyNumberFormat="1" applyFont="1" applyBorder="1"/>
    <xf numFmtId="169" fontId="0" fillId="0" borderId="8" xfId="1" applyNumberFormat="1" applyFont="1" applyBorder="1"/>
    <xf numFmtId="169" fontId="8" fillId="0" borderId="0" xfId="1" applyNumberFormat="1" applyFont="1" applyBorder="1"/>
    <xf numFmtId="169" fontId="8" fillId="0" borderId="8" xfId="1" applyNumberFormat="1" applyFont="1" applyBorder="1"/>
    <xf numFmtId="0" fontId="0" fillId="15" borderId="7" xfId="0" applyFill="1" applyBorder="1"/>
    <xf numFmtId="169" fontId="0" fillId="15" borderId="0" xfId="0" applyNumberFormat="1" applyFill="1" applyBorder="1"/>
    <xf numFmtId="169" fontId="0" fillId="15" borderId="8" xfId="0" applyNumberFormat="1" applyFill="1" applyBorder="1"/>
    <xf numFmtId="0" fontId="3" fillId="0" borderId="9" xfId="0" applyFont="1" applyBorder="1"/>
    <xf numFmtId="169" fontId="3" fillId="0" borderId="1" xfId="0" applyNumberFormat="1" applyFont="1" applyBorder="1"/>
    <xf numFmtId="169" fontId="3" fillId="0" borderId="10" xfId="0" applyNumberFormat="1" applyFont="1" applyBorder="1"/>
    <xf numFmtId="0" fontId="0" fillId="16" borderId="14" xfId="0" applyFill="1" applyBorder="1"/>
    <xf numFmtId="0" fontId="2" fillId="16" borderId="15" xfId="0" applyFont="1" applyFill="1" applyBorder="1" applyAlignment="1">
      <alignment horizontal="center"/>
    </xf>
    <xf numFmtId="0" fontId="10" fillId="17" borderId="0" xfId="4" applyFont="1" applyFill="1" applyBorder="1" applyAlignment="1"/>
    <xf numFmtId="0" fontId="9" fillId="0" borderId="0" xfId="4" applyFont="1" applyAlignment="1"/>
    <xf numFmtId="0" fontId="9" fillId="17" borderId="0" xfId="4" applyFont="1" applyFill="1" applyBorder="1" applyAlignment="1">
      <alignment horizontal="left"/>
    </xf>
    <xf numFmtId="0" fontId="9" fillId="0" borderId="0" xfId="4" applyFont="1" applyBorder="1"/>
    <xf numFmtId="0" fontId="9" fillId="17" borderId="17" xfId="4" applyFont="1" applyFill="1" applyBorder="1" applyAlignment="1">
      <alignment horizontal="left"/>
    </xf>
    <xf numFmtId="0" fontId="9" fillId="17" borderId="17" xfId="4" applyFont="1" applyFill="1" applyBorder="1"/>
    <xf numFmtId="0" fontId="9" fillId="17" borderId="0" xfId="4" applyFont="1" applyFill="1" applyBorder="1"/>
    <xf numFmtId="0" fontId="9" fillId="17" borderId="21" xfId="4" applyFont="1" applyFill="1" applyBorder="1" applyAlignment="1">
      <alignment horizontal="left"/>
    </xf>
    <xf numFmtId="0" fontId="9" fillId="17" borderId="0" xfId="4" applyFont="1" applyFill="1" applyBorder="1" applyAlignment="1">
      <alignment horizontal="right"/>
    </xf>
    <xf numFmtId="44" fontId="14" fillId="4" borderId="2" xfId="6" applyNumberFormat="1" applyFont="1" applyAlignment="1" applyProtection="1">
      <alignment horizontal="right"/>
      <protection locked="0"/>
    </xf>
    <xf numFmtId="44" fontId="16" fillId="5" borderId="2" xfId="7" applyNumberFormat="1" applyFont="1" applyAlignment="1">
      <alignment horizontal="right"/>
    </xf>
    <xf numFmtId="170" fontId="14" fillId="4" borderId="2" xfId="6" applyNumberFormat="1" applyFont="1" applyAlignment="1" applyProtection="1">
      <alignment horizontal="right"/>
      <protection locked="0"/>
    </xf>
    <xf numFmtId="171" fontId="16" fillId="5" borderId="2" xfId="7" applyNumberFormat="1" applyFont="1" applyAlignment="1">
      <alignment horizontal="right"/>
    </xf>
    <xf numFmtId="171" fontId="14" fillId="4" borderId="2" xfId="6" applyNumberFormat="1" applyFont="1" applyAlignment="1" applyProtection="1">
      <alignment horizontal="right"/>
      <protection locked="0"/>
    </xf>
    <xf numFmtId="14" fontId="14" fillId="4" borderId="2" xfId="6" applyNumberFormat="1" applyFont="1" applyAlignment="1" applyProtection="1">
      <alignment horizontal="right"/>
      <protection locked="0"/>
    </xf>
    <xf numFmtId="0" fontId="9" fillId="17" borderId="22" xfId="4" applyFont="1" applyFill="1" applyBorder="1" applyAlignment="1">
      <alignment horizontal="left"/>
    </xf>
    <xf numFmtId="0" fontId="9" fillId="17" borderId="17" xfId="4" applyFont="1" applyFill="1" applyBorder="1" applyAlignment="1">
      <alignment horizontal="right"/>
    </xf>
    <xf numFmtId="0" fontId="9" fillId="17" borderId="0" xfId="4" applyNumberFormat="1" applyFont="1" applyFill="1" applyBorder="1" applyAlignment="1">
      <alignment horizontal="left"/>
    </xf>
    <xf numFmtId="0" fontId="17" fillId="17" borderId="0" xfId="4" applyFont="1" applyFill="1" applyBorder="1" applyAlignment="1">
      <alignment horizontal="right"/>
    </xf>
    <xf numFmtId="0" fontId="9" fillId="17" borderId="0" xfId="4" applyFont="1" applyFill="1"/>
    <xf numFmtId="0" fontId="9" fillId="17" borderId="25" xfId="4" applyFont="1" applyFill="1" applyBorder="1" applyAlignment="1" applyProtection="1">
      <alignment horizontal="left"/>
    </xf>
    <xf numFmtId="0" fontId="18" fillId="18" borderId="0" xfId="5" applyFont="1" applyBorder="1" applyAlignment="1">
      <alignment horizontal="left"/>
    </xf>
    <xf numFmtId="0" fontId="18" fillId="18" borderId="0" xfId="5" applyFont="1" applyBorder="1"/>
    <xf numFmtId="0" fontId="12" fillId="18" borderId="8" xfId="5" applyFont="1" applyBorder="1" applyAlignment="1" applyProtection="1">
      <alignment horizontal="center" vertical="center" wrapText="1"/>
    </xf>
    <xf numFmtId="0" fontId="12" fillId="18" borderId="13" xfId="5" applyFont="1" applyBorder="1" applyAlignment="1" applyProtection="1">
      <alignment horizontal="center" vertical="center" wrapText="1"/>
    </xf>
    <xf numFmtId="0" fontId="12" fillId="18" borderId="7" xfId="5" applyFont="1" applyBorder="1" applyAlignment="1" applyProtection="1">
      <alignment horizontal="center" vertical="center" wrapText="1"/>
    </xf>
    <xf numFmtId="0" fontId="9" fillId="0" borderId="0" xfId="4" applyFont="1" applyBorder="1" applyAlignment="1">
      <alignment wrapText="1"/>
    </xf>
    <xf numFmtId="0" fontId="18" fillId="18" borderId="17" xfId="5" applyFont="1" applyBorder="1" applyAlignment="1">
      <alignment horizontal="left"/>
    </xf>
    <xf numFmtId="0" fontId="18" fillId="18" borderId="17" xfId="5" applyFont="1" applyBorder="1" applyAlignment="1" applyProtection="1">
      <alignment horizontal="left" wrapText="1" indent="2"/>
    </xf>
    <xf numFmtId="0" fontId="18" fillId="18" borderId="17" xfId="5" applyFont="1" applyBorder="1" applyAlignment="1" applyProtection="1">
      <alignment horizontal="left" wrapText="1" indent="3"/>
    </xf>
    <xf numFmtId="0" fontId="19" fillId="17" borderId="0" xfId="4" applyFont="1" applyFill="1" applyBorder="1" applyAlignment="1">
      <alignment horizontal="left"/>
    </xf>
    <xf numFmtId="14" fontId="19" fillId="17" borderId="0" xfId="4" applyNumberFormat="1" applyFont="1" applyFill="1" applyBorder="1" applyAlignment="1">
      <alignment horizontal="right"/>
    </xf>
    <xf numFmtId="44" fontId="19" fillId="17" borderId="0" xfId="8" applyNumberFormat="1" applyFont="1" applyFill="1" applyBorder="1" applyAlignment="1">
      <alignment horizontal="right"/>
    </xf>
    <xf numFmtId="44" fontId="19" fillId="17" borderId="0" xfId="8" applyNumberFormat="1" applyFont="1" applyFill="1" applyBorder="1" applyAlignment="1" applyProtection="1">
      <alignment horizontal="right"/>
      <protection locked="0"/>
    </xf>
    <xf numFmtId="0" fontId="9" fillId="0" borderId="0" xfId="4" applyFont="1" applyBorder="1" applyAlignment="1">
      <alignment horizontal="left"/>
    </xf>
    <xf numFmtId="0" fontId="9" fillId="0" borderId="0" xfId="4" applyFont="1" applyBorder="1" applyAlignment="1">
      <alignment horizontal="center"/>
    </xf>
    <xf numFmtId="0" fontId="3" fillId="19" borderId="11" xfId="0" applyFont="1" applyFill="1" applyBorder="1"/>
    <xf numFmtId="0" fontId="3" fillId="19" borderId="12" xfId="0" applyFont="1" applyFill="1" applyBorder="1"/>
    <xf numFmtId="172" fontId="0" fillId="0" borderId="5" xfId="3" applyNumberFormat="1" applyFont="1" applyBorder="1"/>
    <xf numFmtId="172" fontId="0" fillId="0" borderId="0" xfId="3" applyNumberFormat="1" applyFont="1" applyBorder="1"/>
    <xf numFmtId="172" fontId="0" fillId="0" borderId="1" xfId="3" applyNumberFormat="1" applyFont="1" applyBorder="1"/>
    <xf numFmtId="0" fontId="22" fillId="0" borderId="0" xfId="9" applyFont="1" applyAlignment="1"/>
    <xf numFmtId="0" fontId="22" fillId="0" borderId="0" xfId="9" applyNumberFormat="1" applyFont="1" applyAlignment="1"/>
    <xf numFmtId="0" fontId="24" fillId="0" borderId="0" xfId="9" applyFont="1" applyFill="1" applyProtection="1">
      <alignment wrapText="1"/>
    </xf>
    <xf numFmtId="173" fontId="22" fillId="0" borderId="3" xfId="9" applyNumberFormat="1" applyFont="1" applyBorder="1" applyAlignment="1" applyProtection="1">
      <alignment horizontal="right" wrapText="1"/>
      <protection locked="0"/>
    </xf>
    <xf numFmtId="3" fontId="22" fillId="0" borderId="12" xfId="9" applyNumberFormat="1" applyFont="1" applyBorder="1" applyProtection="1">
      <alignment wrapText="1"/>
      <protection locked="0"/>
    </xf>
    <xf numFmtId="3" fontId="25" fillId="0" borderId="0" xfId="9" applyNumberFormat="1" applyFont="1" applyAlignment="1"/>
    <xf numFmtId="0" fontId="26" fillId="0" borderId="0" xfId="9" applyFont="1" applyBorder="1" applyAlignment="1"/>
    <xf numFmtId="0" fontId="22" fillId="0" borderId="0" xfId="9" applyFont="1" applyBorder="1" applyAlignment="1"/>
    <xf numFmtId="0" fontId="22" fillId="0" borderId="0" xfId="9" applyFont="1" applyBorder="1">
      <alignment wrapText="1"/>
    </xf>
    <xf numFmtId="0" fontId="27" fillId="0" borderId="0" xfId="9" applyFont="1" applyBorder="1" applyAlignment="1">
      <alignment wrapText="1"/>
    </xf>
    <xf numFmtId="0" fontId="28" fillId="20" borderId="10" xfId="9" applyFont="1" applyFill="1" applyBorder="1" applyAlignment="1">
      <alignment horizontal="center" wrapText="1"/>
    </xf>
    <xf numFmtId="173" fontId="28" fillId="20" borderId="12" xfId="9" applyNumberFormat="1" applyFont="1" applyFill="1" applyBorder="1" applyAlignment="1">
      <alignment horizontal="center" wrapText="1"/>
    </xf>
    <xf numFmtId="0" fontId="28" fillId="20" borderId="9" xfId="9" applyNumberFormat="1" applyFont="1" applyFill="1" applyBorder="1" applyAlignment="1">
      <alignment horizontal="center" wrapText="1"/>
    </xf>
    <xf numFmtId="0" fontId="22" fillId="0" borderId="0" xfId="9" applyFont="1">
      <alignment wrapText="1"/>
    </xf>
    <xf numFmtId="0" fontId="27" fillId="0" borderId="11" xfId="9" applyFont="1" applyBorder="1" applyAlignment="1">
      <alignment wrapText="1"/>
    </xf>
    <xf numFmtId="3" fontId="22" fillId="0" borderId="8" xfId="9" applyNumberFormat="1" applyFont="1" applyBorder="1" applyProtection="1">
      <alignment wrapText="1"/>
      <protection locked="0"/>
    </xf>
    <xf numFmtId="3" fontId="22" fillId="21" borderId="13" xfId="9" applyNumberFormat="1" applyFont="1" applyFill="1" applyBorder="1">
      <alignment wrapText="1"/>
    </xf>
    <xf numFmtId="3" fontId="22" fillId="22" borderId="7" xfId="9" applyNumberFormat="1" applyFont="1" applyFill="1" applyBorder="1">
      <alignment wrapText="1"/>
    </xf>
    <xf numFmtId="0" fontId="27" fillId="0" borderId="3" xfId="9" applyFont="1" applyBorder="1" applyAlignment="1">
      <alignment wrapText="1"/>
    </xf>
    <xf numFmtId="3" fontId="22" fillId="0" borderId="3" xfId="9" applyNumberFormat="1" applyFont="1" applyBorder="1" applyProtection="1">
      <alignment wrapText="1"/>
      <protection locked="0"/>
    </xf>
    <xf numFmtId="3" fontId="22" fillId="21" borderId="3" xfId="9" applyNumberFormat="1" applyFont="1" applyFill="1" applyBorder="1">
      <alignment wrapText="1"/>
    </xf>
    <xf numFmtId="3" fontId="22" fillId="22" borderId="3" xfId="9" applyNumberFormat="1" applyFont="1" applyFill="1" applyBorder="1">
      <alignment wrapText="1"/>
    </xf>
    <xf numFmtId="0" fontId="21" fillId="0" borderId="0" xfId="9">
      <alignment wrapText="1"/>
    </xf>
    <xf numFmtId="0" fontId="28" fillId="20" borderId="1" xfId="9" applyFont="1" applyFill="1" applyBorder="1" applyAlignment="1">
      <alignment wrapText="1"/>
    </xf>
    <xf numFmtId="0" fontId="25" fillId="20" borderId="1" xfId="9" applyNumberFormat="1" applyFont="1" applyFill="1" applyBorder="1">
      <alignment wrapText="1"/>
    </xf>
    <xf numFmtId="0" fontId="25" fillId="20" borderId="1" xfId="9" applyNumberFormat="1" applyFont="1" applyFill="1" applyBorder="1" applyAlignment="1">
      <alignment horizontal="center" wrapText="1"/>
    </xf>
    <xf numFmtId="0" fontId="22" fillId="0" borderId="16" xfId="9" applyFont="1" applyFill="1" applyBorder="1" applyAlignment="1" applyProtection="1">
      <alignment wrapText="1"/>
    </xf>
    <xf numFmtId="3" fontId="22" fillId="22" borderId="13" xfId="9" applyNumberFormat="1" applyFont="1" applyFill="1" applyBorder="1">
      <alignment wrapText="1"/>
    </xf>
    <xf numFmtId="3" fontId="22" fillId="21" borderId="9" xfId="9" applyNumberFormat="1" applyFont="1" applyFill="1" applyBorder="1">
      <alignment wrapText="1"/>
    </xf>
    <xf numFmtId="0" fontId="27" fillId="23" borderId="8" xfId="9" applyFont="1" applyFill="1" applyBorder="1" applyProtection="1">
      <alignment wrapText="1"/>
    </xf>
    <xf numFmtId="3" fontId="29" fillId="22" borderId="13" xfId="9" applyNumberFormat="1" applyFont="1" applyFill="1" applyBorder="1">
      <alignment wrapText="1"/>
    </xf>
    <xf numFmtId="3" fontId="22" fillId="0" borderId="13" xfId="9" applyNumberFormat="1" applyFont="1" applyBorder="1" applyProtection="1">
      <alignment wrapText="1"/>
      <protection locked="0"/>
    </xf>
    <xf numFmtId="3" fontId="22" fillId="21" borderId="7" xfId="9" applyNumberFormat="1" applyFont="1" applyFill="1" applyBorder="1">
      <alignment wrapText="1"/>
    </xf>
    <xf numFmtId="3" fontId="22" fillId="21" borderId="11" xfId="9" applyNumberFormat="1" applyFont="1" applyFill="1" applyBorder="1">
      <alignment wrapText="1"/>
    </xf>
    <xf numFmtId="0" fontId="22" fillId="0" borderId="0" xfId="9" applyNumberFormat="1" applyFont="1">
      <alignment wrapText="1"/>
    </xf>
    <xf numFmtId="0" fontId="27" fillId="0" borderId="15" xfId="9" applyNumberFormat="1" applyFont="1" applyBorder="1" applyAlignment="1">
      <alignment wrapText="1"/>
    </xf>
    <xf numFmtId="0" fontId="22" fillId="0" borderId="5" xfId="9" applyNumberFormat="1" applyFont="1" applyBorder="1">
      <alignment wrapText="1"/>
    </xf>
    <xf numFmtId="0" fontId="22" fillId="0" borderId="15" xfId="9" applyNumberFormat="1" applyFont="1" applyBorder="1">
      <alignment wrapText="1"/>
    </xf>
    <xf numFmtId="0" fontId="22" fillId="0" borderId="26" xfId="9" applyNumberFormat="1" applyFont="1" applyFill="1" applyBorder="1" applyAlignment="1">
      <alignment wrapText="1"/>
    </xf>
    <xf numFmtId="0" fontId="22" fillId="0" borderId="26" xfId="9" applyFont="1" applyBorder="1" applyAlignment="1">
      <alignment wrapText="1"/>
    </xf>
    <xf numFmtId="0" fontId="22" fillId="0" borderId="16" xfId="9" applyNumberFormat="1" applyFont="1" applyFill="1" applyBorder="1" applyAlignment="1">
      <alignment wrapText="1"/>
    </xf>
    <xf numFmtId="0" fontId="22" fillId="0" borderId="16" xfId="9" applyFont="1" applyBorder="1" applyAlignment="1">
      <alignment wrapText="1"/>
    </xf>
    <xf numFmtId="0" fontId="27" fillId="23" borderId="8" xfId="9" applyFont="1" applyFill="1" applyBorder="1" applyAlignment="1">
      <alignment wrapText="1"/>
    </xf>
    <xf numFmtId="0" fontId="22" fillId="22" borderId="13" xfId="9" applyFont="1" applyFill="1" applyBorder="1">
      <alignment wrapText="1"/>
    </xf>
    <xf numFmtId="0" fontId="30" fillId="23" borderId="0" xfId="9" applyNumberFormat="1" applyFont="1" applyFill="1" applyBorder="1" applyAlignment="1">
      <alignment wrapText="1"/>
    </xf>
    <xf numFmtId="0" fontId="31" fillId="22" borderId="7" xfId="9" applyNumberFormat="1" applyFont="1" applyFill="1" applyBorder="1">
      <alignment wrapText="1"/>
    </xf>
    <xf numFmtId="0" fontId="28" fillId="20" borderId="7" xfId="9" applyNumberFormat="1" applyFont="1" applyFill="1" applyBorder="1" applyAlignment="1">
      <alignment horizontal="center" wrapText="1"/>
    </xf>
    <xf numFmtId="0" fontId="22" fillId="0" borderId="5" xfId="9" applyFont="1" applyBorder="1" applyAlignment="1">
      <alignment wrapText="1"/>
    </xf>
    <xf numFmtId="3" fontId="22" fillId="22" borderId="4" xfId="9" applyNumberFormat="1" applyFont="1" applyFill="1" applyBorder="1">
      <alignment wrapText="1"/>
    </xf>
    <xf numFmtId="3" fontId="22" fillId="0" borderId="4" xfId="9" applyNumberFormat="1" applyFont="1" applyBorder="1">
      <alignment wrapText="1"/>
    </xf>
    <xf numFmtId="3" fontId="22" fillId="21" borderId="4" xfId="9" applyNumberFormat="1" applyFont="1" applyFill="1" applyBorder="1">
      <alignment wrapText="1"/>
    </xf>
    <xf numFmtId="0" fontId="27" fillId="23" borderId="5" xfId="9" applyFont="1" applyFill="1" applyBorder="1" applyAlignment="1">
      <alignment wrapText="1"/>
    </xf>
    <xf numFmtId="3" fontId="29" fillId="22" borderId="7" xfId="9" applyNumberFormat="1" applyFont="1" applyFill="1" applyBorder="1">
      <alignment wrapText="1"/>
    </xf>
    <xf numFmtId="3" fontId="22" fillId="0" borderId="7" xfId="9" applyNumberFormat="1" applyFont="1" applyBorder="1">
      <alignment wrapText="1"/>
    </xf>
    <xf numFmtId="0" fontId="27" fillId="23" borderId="9" xfId="9" applyFont="1" applyFill="1" applyBorder="1" applyAlignment="1">
      <alignment wrapText="1"/>
    </xf>
    <xf numFmtId="0" fontId="27" fillId="0" borderId="5" xfId="9" applyFont="1" applyBorder="1" applyAlignment="1">
      <alignment wrapText="1"/>
    </xf>
    <xf numFmtId="0" fontId="22" fillId="0" borderId="5" xfId="9" applyFont="1" applyBorder="1">
      <alignment wrapText="1"/>
    </xf>
    <xf numFmtId="0" fontId="28" fillId="20" borderId="1" xfId="9" applyFont="1" applyFill="1" applyBorder="1" applyAlignment="1"/>
    <xf numFmtId="0" fontId="25" fillId="20" borderId="1" xfId="9" applyFont="1" applyFill="1" applyBorder="1">
      <alignment wrapText="1"/>
    </xf>
    <xf numFmtId="0" fontId="25" fillId="20" borderId="1" xfId="9" applyFont="1" applyFill="1" applyBorder="1" applyAlignment="1">
      <alignment horizontal="center" wrapText="1"/>
    </xf>
    <xf numFmtId="0" fontId="22" fillId="0" borderId="10" xfId="9" applyFont="1" applyBorder="1" applyAlignment="1">
      <alignment wrapText="1"/>
    </xf>
    <xf numFmtId="0" fontId="22" fillId="24" borderId="12" xfId="9" applyNumberFormat="1" applyFont="1" applyFill="1" applyBorder="1">
      <alignment wrapText="1"/>
    </xf>
    <xf numFmtId="3" fontId="22" fillId="24" borderId="9" xfId="9" applyNumberFormat="1" applyFont="1" applyFill="1" applyBorder="1" applyProtection="1">
      <alignment wrapText="1"/>
    </xf>
    <xf numFmtId="0" fontId="22" fillId="0" borderId="6" xfId="9" applyFont="1" applyBorder="1" applyAlignment="1">
      <alignment wrapText="1"/>
    </xf>
    <xf numFmtId="0" fontId="22" fillId="24" borderId="11" xfId="9" applyNumberFormat="1" applyFont="1" applyFill="1" applyBorder="1">
      <alignment wrapText="1"/>
    </xf>
    <xf numFmtId="3" fontId="22" fillId="0" borderId="11" xfId="9" applyNumberFormat="1" applyFont="1" applyBorder="1" applyProtection="1">
      <alignment wrapText="1"/>
      <protection locked="0"/>
    </xf>
    <xf numFmtId="0" fontId="22" fillId="0" borderId="0" xfId="9" applyFont="1" applyAlignment="1">
      <alignment wrapText="1"/>
    </xf>
    <xf numFmtId="0" fontId="12" fillId="18" borderId="18" xfId="5" applyFont="1" applyBorder="1" applyAlignment="1">
      <alignment horizontal="right"/>
    </xf>
    <xf numFmtId="0" fontId="12" fillId="18" borderId="19" xfId="5" applyFont="1" applyBorder="1" applyAlignment="1">
      <alignment horizontal="right"/>
    </xf>
    <xf numFmtId="0" fontId="12" fillId="18" borderId="20" xfId="5" applyFont="1" applyBorder="1" applyAlignment="1">
      <alignment horizontal="right"/>
    </xf>
    <xf numFmtId="0" fontId="9" fillId="17" borderId="23" xfId="4" applyFont="1" applyFill="1" applyBorder="1" applyAlignment="1" applyProtection="1">
      <alignment horizontal="left"/>
      <protection locked="0"/>
    </xf>
    <xf numFmtId="0" fontId="9" fillId="17" borderId="24" xfId="4" applyFont="1" applyFill="1" applyBorder="1" applyAlignment="1" applyProtection="1">
      <alignment horizontal="left"/>
      <protection locked="0"/>
    </xf>
    <xf numFmtId="0" fontId="3" fillId="7" borderId="5" xfId="0" applyFont="1" applyFill="1" applyBorder="1" applyAlignment="1">
      <alignment horizontal="center"/>
    </xf>
    <xf numFmtId="0" fontId="3" fillId="6" borderId="4" xfId="0" applyFont="1" applyFill="1" applyBorder="1" applyAlignment="1">
      <alignment horizontal="center"/>
    </xf>
    <xf numFmtId="0" fontId="3" fillId="6" borderId="5" xfId="0" applyFont="1" applyFill="1" applyBorder="1" applyAlignment="1">
      <alignment horizontal="center"/>
    </xf>
    <xf numFmtId="0" fontId="3" fillId="6" borderId="6" xfId="0" applyFont="1" applyFill="1" applyBorder="1" applyAlignment="1">
      <alignment horizontal="center"/>
    </xf>
    <xf numFmtId="0" fontId="3" fillId="11" borderId="5" xfId="0" applyFont="1" applyFill="1" applyBorder="1" applyAlignment="1">
      <alignment horizontal="center"/>
    </xf>
    <xf numFmtId="0" fontId="23" fillId="0" borderId="0" xfId="9" applyFont="1" applyFill="1" applyBorder="1" applyAlignment="1" applyProtection="1">
      <alignment horizontal="center" wrapText="1"/>
    </xf>
  </cellXfs>
  <cellStyles count="10">
    <cellStyle name="20 % - Accent3 2" xfId="5"/>
    <cellStyle name="Calcul 2" xfId="7"/>
    <cellStyle name="Entrée 2" xfId="6"/>
    <cellStyle name="Milliers" xfId="1" builtinId="3"/>
    <cellStyle name="Monétaire" xfId="2" builtinId="4"/>
    <cellStyle name="Monétaire 2" xfId="8"/>
    <cellStyle name="Normal" xfId="0" builtinId="0"/>
    <cellStyle name="Normal 2" xfId="4"/>
    <cellStyle name="Normal 3" xfId="9"/>
    <cellStyle name="Pourcentage" xfId="3" builtinId="5"/>
  </cellStyles>
  <dxfs count="178">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theme="0" tint="-0.249977111117893"/>
        <name val="Calibri"/>
        <scheme val="minor"/>
      </font>
      <numFmt numFmtId="3" formatCode="#,##0"/>
      <fill>
        <patternFill patternType="lightUp">
          <fgColor indexed="64"/>
          <bgColor indexed="2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outline="0">
        <left/>
        <right/>
        <top style="thin">
          <color indexed="64"/>
        </top>
        <bottom/>
      </border>
    </dxf>
    <dxf>
      <font>
        <b/>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top style="thin">
          <color indexed="64"/>
        </top>
        <bottom/>
      </border>
    </dxf>
    <dxf>
      <border outline="0">
        <left style="thin">
          <color indexed="64"/>
        </left>
        <right style="thin">
          <color indexed="64"/>
        </right>
        <top style="thin">
          <color indexed="64"/>
        </top>
        <bottom style="thin">
          <color auto="1"/>
        </bottom>
      </border>
    </dxf>
    <dxf>
      <font>
        <b val="0"/>
        <i val="0"/>
        <strike val="0"/>
        <condense val="0"/>
        <extend val="0"/>
        <outline val="0"/>
        <shadow val="0"/>
        <u val="none"/>
        <vertAlign val="baseline"/>
        <sz val="8"/>
        <color auto="1"/>
        <name val="Calibri"/>
        <scheme val="minor"/>
      </font>
    </dxf>
    <dxf>
      <font>
        <b/>
        <i val="0"/>
        <strike val="0"/>
        <condense val="0"/>
        <extend val="0"/>
        <outline val="0"/>
        <shadow val="0"/>
        <u val="none"/>
        <vertAlign val="baseline"/>
        <sz val="8"/>
        <color theme="0"/>
        <name val="Calibri"/>
        <scheme val="minor"/>
      </font>
      <numFmt numFmtId="174" formatCode="mmm/yy"/>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0.249977111117893"/>
        </patternFill>
      </fill>
      <border diagonalUp="0" diagonalDown="0" outline="0">
        <left style="thin">
          <color indexed="64"/>
        </left>
        <right/>
        <top/>
        <bottom/>
      </border>
      <protection locked="1"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0.249977111117893"/>
        </patternFill>
      </fill>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protection locked="0" hidden="0"/>
    </dxf>
    <dxf>
      <border outline="0">
        <bottom style="thin">
          <color indexed="64"/>
        </bottom>
      </border>
    </dxf>
    <dxf>
      <font>
        <b val="0"/>
        <i val="0"/>
        <strike val="0"/>
        <condense val="0"/>
        <extend val="0"/>
        <outline val="0"/>
        <shadow val="0"/>
        <u val="none"/>
        <vertAlign val="baseline"/>
        <sz val="8"/>
        <color theme="0"/>
        <name val="Calibri"/>
        <scheme val="minor"/>
      </font>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left style="thin">
          <color indexed="64"/>
        </left>
        <right style="thin">
          <color indexed="64"/>
        </right>
        <top/>
        <bottom/>
        <vertical/>
        <horizontal/>
      </border>
    </dxf>
    <dxf>
      <font>
        <b/>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Calibri"/>
        <scheme val="minor"/>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Calibri"/>
        <scheme val="minor"/>
      </font>
      <protection locked="0" hidden="0"/>
    </dxf>
    <dxf>
      <border outline="0">
        <bottom style="thin">
          <color indexed="64"/>
        </bottom>
      </border>
    </dxf>
    <dxf>
      <font>
        <b val="0"/>
        <i val="0"/>
        <strike val="0"/>
        <condense val="0"/>
        <extend val="0"/>
        <outline val="0"/>
        <shadow val="0"/>
        <u val="none"/>
        <vertAlign val="baseline"/>
        <sz val="8"/>
        <color theme="0"/>
        <name val="Calibri"/>
        <scheme val="minor"/>
      </font>
      <numFmt numFmtId="3" formatCode="#,##0"/>
      <fill>
        <patternFill patternType="solid">
          <fgColor indexed="64"/>
          <bgColor theme="1" tint="0.499984740745262"/>
        </patternFill>
      </fill>
    </dxf>
    <dxf>
      <font>
        <b val="0"/>
        <i val="0"/>
        <strike val="0"/>
        <condense val="0"/>
        <extend val="0"/>
        <outline val="0"/>
        <shadow val="0"/>
        <u val="none"/>
        <vertAlign val="baseline"/>
        <sz val="8"/>
        <color auto="1"/>
        <name val="Calibri"/>
        <scheme val="minor"/>
      </font>
      <fill>
        <patternFill patternType="lightUp">
          <fgColor indexed="64"/>
          <bgColor indexed="2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left style="thin">
          <color indexed="64"/>
        </left>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Calibri"/>
        <scheme val="minor"/>
      </font>
      <border diagonalUp="0" diagonalDown="0" outline="0">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right style="thin">
          <color indexed="64"/>
        </right>
        <top/>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tint="-4.9989318521683403E-2"/>
        </patternFill>
      </fill>
    </dxf>
    <dxf>
      <border outline="0">
        <bottom style="thin">
          <color indexed="64"/>
        </bottom>
      </border>
    </dxf>
    <dxf>
      <font>
        <b/>
        <i val="0"/>
        <strike val="0"/>
        <condense val="0"/>
        <extend val="0"/>
        <outline val="0"/>
        <shadow val="0"/>
        <u val="none"/>
        <vertAlign val="baseline"/>
        <sz val="8"/>
        <color theme="0"/>
        <name val="Calibri"/>
        <scheme val="minor"/>
      </font>
      <numFmt numFmtId="174" formatCode="mmm/yy"/>
      <fill>
        <patternFill patternType="solid">
          <fgColor indexed="64"/>
          <bgColor theme="1" tint="0.499984740745262"/>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Calibri"/>
        <scheme val="minor"/>
      </font>
      <numFmt numFmtId="3" formatCode="#,##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theme="0" tint="-0.249977111117893"/>
        <name val="Calibri"/>
        <scheme val="minor"/>
      </font>
      <numFmt numFmtId="3" formatCode="#,##0"/>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numFmt numFmtId="3" formatCode="#,##0"/>
      <fill>
        <patternFill patternType="lightUp">
          <fgColor indexed="64"/>
          <bgColor indexed="22"/>
        </patternFill>
      </fill>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Calibri"/>
        <scheme val="minor"/>
      </font>
      <fill>
        <patternFill patternType="solid">
          <fgColor indexed="64"/>
          <bgColor theme="0"/>
        </patternFill>
      </fill>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Calibri"/>
        <scheme val="minor"/>
      </font>
      <protection locked="0" hidden="0"/>
    </dxf>
    <dxf>
      <border outline="0">
        <bottom style="thin">
          <color indexed="64"/>
        </bottom>
      </border>
    </dxf>
    <dxf>
      <font>
        <b val="0"/>
        <i val="0"/>
        <strike val="0"/>
        <condense val="0"/>
        <extend val="0"/>
        <outline val="0"/>
        <shadow val="0"/>
        <u val="none"/>
        <vertAlign val="baseline"/>
        <sz val="8"/>
        <color theme="0"/>
        <name val="Calibri"/>
        <scheme val="minor"/>
      </font>
      <numFmt numFmtId="3" formatCode="#,##0"/>
      <fill>
        <patternFill patternType="solid">
          <fgColor indexed="64"/>
          <bgColor theme="1" tint="0.499984740745262"/>
        </patternFill>
      </fill>
    </dxf>
    <dxf>
      <font>
        <condense val="0"/>
        <extend val="0"/>
        <color indexed="10"/>
      </font>
    </dxf>
    <dxf>
      <fill>
        <patternFill patternType="solid">
          <fgColor indexed="64"/>
          <bgColor indexed="26"/>
        </patternFill>
      </fill>
    </dxf>
    <dxf>
      <fill>
        <patternFill patternType="solid">
          <fgColor indexed="64"/>
          <bgColor indexed="26"/>
        </patternFill>
      </fill>
      <border diagonalUp="0" diagonalDown="0">
        <left/>
        <right/>
        <top/>
        <bottom style="thin">
          <color indexed="22"/>
        </bottom>
      </border>
    </dxf>
    <dxf>
      <font>
        <color indexed="9"/>
      </font>
      <fill>
        <patternFill patternType="solid">
          <fgColor indexed="64"/>
          <bgColor indexed="9"/>
        </patternFill>
      </fill>
    </dxf>
    <dxf>
      <fill>
        <patternFill patternType="solid">
          <fgColor indexed="64"/>
          <bgColor indexed="26"/>
        </patternFill>
      </fill>
    </dxf>
    <dxf>
      <fill>
        <patternFill patternType="solid">
          <fgColor indexed="64"/>
          <bgColor indexed="26"/>
        </patternFill>
      </fill>
      <border diagonalUp="0" diagonalDown="0">
        <left/>
        <right/>
        <top/>
        <bottom style="thin">
          <color indexed="22"/>
        </bottom>
      </border>
    </dxf>
    <dxf>
      <font>
        <color indexed="9"/>
      </font>
      <fill>
        <patternFill patternType="solid">
          <fgColor indexed="64"/>
          <bgColor indexed="9"/>
        </patternFill>
      </fill>
    </dxf>
    <dxf>
      <font>
        <b/>
        <i val="0"/>
      </font>
    </dxf>
    <dxf>
      <fill>
        <patternFill>
          <bgColor theme="0" tint="-4.9989318521683403E-2"/>
        </patternFill>
      </fill>
    </dxf>
    <dxf>
      <font>
        <b/>
        <i val="0"/>
        <color theme="0"/>
      </font>
      <fill>
        <patternFill>
          <bgColor theme="1" tint="0.499984740745262"/>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résorerie" pivot="0" count="4">
      <tableStyleElement type="wholeTable" dxfId="177"/>
      <tableStyleElement type="headerRow" dxfId="176"/>
      <tableStyleElement type="totalRow" dxfId="175"/>
      <tableStyleElement type="firstTotalCell" dxfId="17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15</xdr:row>
      <xdr:rowOff>106680</xdr:rowOff>
    </xdr:from>
    <xdr:to>
      <xdr:col>7</xdr:col>
      <xdr:colOff>366316</xdr:colOff>
      <xdr:row>37</xdr:row>
      <xdr:rowOff>175615</xdr:rowOff>
    </xdr:to>
    <xdr:pic>
      <xdr:nvPicPr>
        <xdr:cNvPr id="2" name="Image 1"/>
        <xdr:cNvPicPr>
          <a:picLocks noChangeAspect="1"/>
        </xdr:cNvPicPr>
      </xdr:nvPicPr>
      <xdr:blipFill>
        <a:blip xmlns:r="http://schemas.openxmlformats.org/officeDocument/2006/relationships" r:embed="rId1"/>
        <a:stretch>
          <a:fillRect/>
        </a:stretch>
      </xdr:blipFill>
      <xdr:spPr>
        <a:xfrm>
          <a:off x="0" y="2849880"/>
          <a:ext cx="6416596" cy="4092295"/>
        </a:xfrm>
        <a:prstGeom prst="rect">
          <a:avLst/>
        </a:prstGeom>
      </xdr:spPr>
    </xdr:pic>
    <xdr:clientData/>
  </xdr:twoCellAnchor>
  <xdr:twoCellAnchor editAs="oneCell">
    <xdr:from>
      <xdr:col>9</xdr:col>
      <xdr:colOff>358140</xdr:colOff>
      <xdr:row>15</xdr:row>
      <xdr:rowOff>137160</xdr:rowOff>
    </xdr:from>
    <xdr:to>
      <xdr:col>17</xdr:col>
      <xdr:colOff>99626</xdr:colOff>
      <xdr:row>37</xdr:row>
      <xdr:rowOff>7957</xdr:rowOff>
    </xdr:to>
    <xdr:pic>
      <xdr:nvPicPr>
        <xdr:cNvPr id="3" name="Image 2"/>
        <xdr:cNvPicPr>
          <a:picLocks noChangeAspect="1"/>
        </xdr:cNvPicPr>
      </xdr:nvPicPr>
      <xdr:blipFill>
        <a:blip xmlns:r="http://schemas.openxmlformats.org/officeDocument/2006/relationships" r:embed="rId2"/>
        <a:stretch>
          <a:fillRect/>
        </a:stretch>
      </xdr:blipFill>
      <xdr:spPr>
        <a:xfrm>
          <a:off x="7200900" y="2880360"/>
          <a:ext cx="6530906" cy="3894157"/>
        </a:xfrm>
        <a:prstGeom prst="rect">
          <a:avLst/>
        </a:prstGeom>
      </xdr:spPr>
    </xdr:pic>
    <xdr:clientData/>
  </xdr:twoCellAnchor>
  <xdr:twoCellAnchor editAs="oneCell">
    <xdr:from>
      <xdr:col>9</xdr:col>
      <xdr:colOff>350520</xdr:colOff>
      <xdr:row>33</xdr:row>
      <xdr:rowOff>175260</xdr:rowOff>
    </xdr:from>
    <xdr:to>
      <xdr:col>17</xdr:col>
      <xdr:colOff>76765</xdr:colOff>
      <xdr:row>55</xdr:row>
      <xdr:rowOff>91781</xdr:rowOff>
    </xdr:to>
    <xdr:pic>
      <xdr:nvPicPr>
        <xdr:cNvPr id="4" name="Image 3"/>
        <xdr:cNvPicPr>
          <a:picLocks noChangeAspect="1"/>
        </xdr:cNvPicPr>
      </xdr:nvPicPr>
      <xdr:blipFill>
        <a:blip xmlns:r="http://schemas.openxmlformats.org/officeDocument/2006/relationships" r:embed="rId3"/>
        <a:stretch>
          <a:fillRect/>
        </a:stretch>
      </xdr:blipFill>
      <xdr:spPr>
        <a:xfrm>
          <a:off x="7193280" y="6210300"/>
          <a:ext cx="6515665" cy="3939881"/>
        </a:xfrm>
        <a:prstGeom prst="rect">
          <a:avLst/>
        </a:prstGeom>
      </xdr:spPr>
    </xdr:pic>
    <xdr:clientData/>
  </xdr:twoCellAnchor>
  <xdr:twoCellAnchor editAs="oneCell">
    <xdr:from>
      <xdr:col>0</xdr:col>
      <xdr:colOff>0</xdr:colOff>
      <xdr:row>33</xdr:row>
      <xdr:rowOff>114300</xdr:rowOff>
    </xdr:from>
    <xdr:to>
      <xdr:col>7</xdr:col>
      <xdr:colOff>465385</xdr:colOff>
      <xdr:row>51</xdr:row>
      <xdr:rowOff>23137</xdr:rowOff>
    </xdr:to>
    <xdr:pic>
      <xdr:nvPicPr>
        <xdr:cNvPr id="5" name="Image 4"/>
        <xdr:cNvPicPr>
          <a:picLocks noChangeAspect="1"/>
        </xdr:cNvPicPr>
      </xdr:nvPicPr>
      <xdr:blipFill>
        <a:blip xmlns:r="http://schemas.openxmlformats.org/officeDocument/2006/relationships" r:embed="rId4"/>
        <a:stretch>
          <a:fillRect/>
        </a:stretch>
      </xdr:blipFill>
      <xdr:spPr>
        <a:xfrm>
          <a:off x="0" y="6149340"/>
          <a:ext cx="6515665" cy="3200677"/>
        </a:xfrm>
        <a:prstGeom prst="rect">
          <a:avLst/>
        </a:prstGeom>
      </xdr:spPr>
    </xdr:pic>
    <xdr:clientData/>
  </xdr:twoCellAnchor>
</xdr:wsDr>
</file>

<file path=xl/tables/table1.xml><?xml version="1.0" encoding="utf-8"?>
<table xmlns="http://schemas.openxmlformats.org/spreadsheetml/2006/main" id="1" name="Encaissements" displayName="Encaissements" ref="B11:P18" totalsRowCount="1" headerRowDxfId="166" dataDxfId="164" headerRowBorderDxfId="165" tableBorderDxfId="163">
  <autoFilter ref="B11:P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ENCAISSEMENTS" totalsRowLabel="TOTAL ENCAISSEMENTS" dataDxfId="162" totalsRowDxfId="161"/>
    <tableColumn id="2" name=" " dataDxfId="160" totalsRowDxfId="159"/>
    <tableColumn id="3" name="janv.-26" totalsRowFunction="custom" dataDxfId="158" totalsRowDxfId="157">
      <totalsRowFormula>SUM(D12,D14:D17,(D13*-1))</totalsRowFormula>
    </tableColumn>
    <tableColumn id="4" name="févr.-26" totalsRowFunction="custom" dataDxfId="156" totalsRowDxfId="155">
      <totalsRowFormula>SUM(E12,E14:E17,(E13*-1))</totalsRowFormula>
    </tableColumn>
    <tableColumn id="5" name="mars-26" totalsRowFunction="custom" dataDxfId="154" totalsRowDxfId="153">
      <totalsRowFormula>SUM(F12,F14:F17,(F13*-1))</totalsRowFormula>
    </tableColumn>
    <tableColumn id="6" name="avr.-26" totalsRowFunction="custom" dataDxfId="152" totalsRowDxfId="151">
      <totalsRowFormula>SUM(G12,G14:G17,(G13*-1))</totalsRowFormula>
    </tableColumn>
    <tableColumn id="7" name="mai-26" totalsRowFunction="custom" dataDxfId="150" totalsRowDxfId="149">
      <totalsRowFormula>SUM(H12,H14:H17,(H13*-1))</totalsRowFormula>
    </tableColumn>
    <tableColumn id="8" name="juin-26" totalsRowFunction="custom" dataDxfId="148" totalsRowDxfId="147">
      <totalsRowFormula>SUM(I12,I14:I17,(I13*-1))</totalsRowFormula>
    </tableColumn>
    <tableColumn id="9" name="juil.-26" totalsRowFunction="custom" dataDxfId="146" totalsRowDxfId="145">
      <totalsRowFormula>SUM(J12,J14:J17,(J13*-1))</totalsRowFormula>
    </tableColumn>
    <tableColumn id="10" name="août-26" totalsRowFunction="custom" dataDxfId="144" totalsRowDxfId="143">
      <totalsRowFormula>SUM(K12,K14:K17,(K13*-1))</totalsRowFormula>
    </tableColumn>
    <tableColumn id="11" name="sept.-26" totalsRowFunction="custom" dataDxfId="142" totalsRowDxfId="141">
      <totalsRowFormula>SUM(L12,L14:L17,(L13*-1))</totalsRowFormula>
    </tableColumn>
    <tableColumn id="12" name="oct.-26" totalsRowFunction="custom" dataDxfId="140" totalsRowDxfId="139">
      <totalsRowFormula>SUM(M12,M14:M17,(M13*-1))</totalsRowFormula>
    </tableColumn>
    <tableColumn id="13" name="nov.-26" totalsRowFunction="custom" dataDxfId="138" totalsRowDxfId="137">
      <totalsRowFormula>SUM(N12,N14:N17,(N13*-1))</totalsRowFormula>
    </tableColumn>
    <tableColumn id="14" name="déc.-26" totalsRowFunction="custom" dataDxfId="136" totalsRowDxfId="135">
      <totalsRowFormula>SUM(O12,O14:O17,(O13*-1))</totalsRowFormula>
    </tableColumn>
    <tableColumn id="15" name="Total" totalsRowFunction="sum" dataDxfId="134" totalsRowDxfId="133">
      <calculatedColumnFormula>SUM(D12:O12)</calculatedColumnFormula>
    </tableColumn>
  </tableColumns>
  <tableStyleInfo name="Trésorerie" showFirstColumn="0" showLastColumn="0" showRowStripes="0" showColumnStripes="0"/>
  <extLst>
    <ext xmlns:x14="http://schemas.microsoft.com/office/spreadsheetml/2009/9/main" uri="{504A1905-F514-4f6f-8877-14C23A59335A}">
      <x14:table altTextSummary="Entrez ou modifiez des éléments Encaissements et valeurs de chaque mois dans ce tableau. Total Liquidités et Total trésorerie disponible sont automatiquement calculés"/>
    </ext>
  </extLst>
</table>
</file>

<file path=xl/tables/table2.xml><?xml version="1.0" encoding="utf-8"?>
<table xmlns="http://schemas.openxmlformats.org/spreadsheetml/2006/main" id="2" name="Liquidités" displayName="Liquidités" ref="C6:P7" headerRowDxfId="132" dataDxfId="130" headerRowBorderDxfId="131" tableBorderDxfId="129">
  <autoFilter ref="C6:P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Début" totalsRowLabel="Total" dataDxfId="128" totalsRowDxfId="127"/>
    <tableColumn id="2" name="janv.-26" dataDxfId="126" totalsRowDxfId="125">
      <calculatedColumnFormula>C55</calculatedColumnFormula>
    </tableColumn>
    <tableColumn id="3" name="févr.-26" dataDxfId="124" totalsRowDxfId="123">
      <calculatedColumnFormula>D55</calculatedColumnFormula>
    </tableColumn>
    <tableColumn id="4" name="mars-26" dataDxfId="122" totalsRowDxfId="121">
      <calculatedColumnFormula>E55</calculatedColumnFormula>
    </tableColumn>
    <tableColumn id="5" name="avr.-26" dataDxfId="120" totalsRowDxfId="119">
      <calculatedColumnFormula>F55</calculatedColumnFormula>
    </tableColumn>
    <tableColumn id="6" name="mai-26" dataDxfId="118" totalsRowDxfId="117">
      <calculatedColumnFormula>G55</calculatedColumnFormula>
    </tableColumn>
    <tableColumn id="7" name="juin-26" dataDxfId="116" totalsRowDxfId="115">
      <calculatedColumnFormula>H55</calculatedColumnFormula>
    </tableColumn>
    <tableColumn id="8" name="juil.-26" dataDxfId="114" totalsRowDxfId="113">
      <calculatedColumnFormula>I55</calculatedColumnFormula>
    </tableColumn>
    <tableColumn id="9" name="août-26" dataDxfId="112" totalsRowDxfId="111">
      <calculatedColumnFormula>J55</calculatedColumnFormula>
    </tableColumn>
    <tableColumn id="10" name="sept.-26" dataDxfId="110" totalsRowDxfId="109">
      <calculatedColumnFormula>K55</calculatedColumnFormula>
    </tableColumn>
    <tableColumn id="11" name="oct.-26" dataDxfId="108" totalsRowDxfId="107">
      <calculatedColumnFormula>L55</calculatedColumnFormula>
    </tableColumn>
    <tableColumn id="12" name="nov.-26" dataDxfId="106" totalsRowDxfId="105">
      <calculatedColumnFormula>M55</calculatedColumnFormula>
    </tableColumn>
    <tableColumn id="13" name="déc.-26" dataDxfId="104" totalsRowDxfId="103">
      <calculatedColumnFormula>N55</calculatedColumnFormula>
    </tableColumn>
    <tableColumn id="14" name="Total" totalsRowFunction="count" dataDxfId="102" totalsRowDxfId="101"/>
  </tableColumns>
  <tableStyleInfo name="Trésorerie" showFirstColumn="0" showLastColumn="0" showRowStripes="1" showColumnStripes="0"/>
  <extLst>
    <ext xmlns:x14="http://schemas.microsoft.com/office/spreadsheetml/2009/9/main" uri="{504A1905-F514-4f6f-8877-14C23A59335A}">
      <x14:table altTextSummary="Entrez Liquidités de début dans ce tableau. Liquidités est calculée automatiquement pour chaque mois"/>
    </ext>
  </extLst>
</table>
</file>

<file path=xl/tables/table3.xml><?xml version="1.0" encoding="utf-8"?>
<table xmlns="http://schemas.openxmlformats.org/spreadsheetml/2006/main" id="3" name="Dépenses" displayName="Dépenses" ref="B21:P47" totalsRowCount="1" headerRowDxfId="100" dataDxfId="98" headerRowBorderDxfId="99" tableBorderDxfId="97">
  <autoFilter ref="B21:P4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Décaissements" totalsRowLabel="SOUS-TOTAL" dataDxfId="96" totalsRowDxfId="95"/>
    <tableColumn id="2" name=" " dataDxfId="94" totalsRowDxfId="93"/>
    <tableColumn id="3" name="janv.-26" totalsRowFunction="sum" dataDxfId="92" totalsRowDxfId="91"/>
    <tableColumn id="4" name="févr.-26" totalsRowFunction="sum" dataDxfId="90" totalsRowDxfId="89"/>
    <tableColumn id="5" name="mars-26" totalsRowFunction="sum" dataDxfId="88" totalsRowDxfId="87"/>
    <tableColumn id="6" name="avr.-26" totalsRowFunction="sum" dataDxfId="86" totalsRowDxfId="85"/>
    <tableColumn id="7" name="mai-26" totalsRowFunction="sum" dataDxfId="84" totalsRowDxfId="83"/>
    <tableColumn id="8" name="juin-26" totalsRowFunction="sum" dataDxfId="82" totalsRowDxfId="81"/>
    <tableColumn id="9" name="juil.-26" totalsRowFunction="sum" dataDxfId="80" totalsRowDxfId="79"/>
    <tableColumn id="10" name="août-26" totalsRowFunction="sum" dataDxfId="78" totalsRowDxfId="77"/>
    <tableColumn id="11" name="sept.-26" totalsRowFunction="sum" dataDxfId="76" totalsRowDxfId="75"/>
    <tableColumn id="12" name="oct.-26" totalsRowFunction="sum" dataDxfId="74" totalsRowDxfId="73"/>
    <tableColumn id="13" name="nov.-26" totalsRowFunction="sum" dataDxfId="72" totalsRowDxfId="71"/>
    <tableColumn id="14" name="déc.-26" totalsRowFunction="sum" dataDxfId="70" totalsRowDxfId="69"/>
    <tableColumn id="15" name="Total" totalsRowFunction="sum" dataDxfId="68" totalsRowDxfId="67">
      <calculatedColumnFormula>SUM(D22:O22)</calculatedColumn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Dépenses et valeurs de chaque mois dans ce tableau. Le sous-total est calculé automatiquement à la fin"/>
    </ext>
  </extLst>
</table>
</file>

<file path=xl/tables/table4.xml><?xml version="1.0" encoding="utf-8"?>
<table xmlns="http://schemas.openxmlformats.org/spreadsheetml/2006/main" id="4" name="AutresDonnéesOpérationnelles" displayName="AutresDonnéesOpérationnelles" ref="B57:P63" headerRowDxfId="66" dataDxfId="64" headerRowBorderDxfId="65" tableBorderDxfId="63">
  <autoFilter ref="B57:P6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AUTRES DONNÉES D’EXPLOITATION" totalsRowLabel="Total" dataDxfId="62" totalsRowDxfId="61"/>
    <tableColumn id="2" name=" " dataDxfId="60" totalsRowDxfId="59"/>
    <tableColumn id="3" name="janv.-18" dataDxfId="58" totalsRowDxfId="57"/>
    <tableColumn id="4" name="févr.-18" dataDxfId="56" totalsRowDxfId="55"/>
    <tableColumn id="5" name="mars-18" dataDxfId="54" totalsRowDxfId="53"/>
    <tableColumn id="6" name="avr.-18" dataDxfId="52" totalsRowDxfId="51"/>
    <tableColumn id="7" name="mai-18" dataDxfId="50" totalsRowDxfId="49"/>
    <tableColumn id="8" name="juin-18" dataDxfId="48" totalsRowDxfId="47"/>
    <tableColumn id="9" name="juil.-18" dataDxfId="46" totalsRowDxfId="45"/>
    <tableColumn id="10" name="août-18" dataDxfId="44" totalsRowDxfId="43"/>
    <tableColumn id="11" name="sept.-18" dataDxfId="42" totalsRowDxfId="41"/>
    <tableColumn id="12" name="oct.-18" dataDxfId="40" totalsRowDxfId="39"/>
    <tableColumn id="13" name="nov.-18" dataDxfId="38" totalsRowDxfId="37"/>
    <tableColumn id="14" name="déc.-18" dataDxfId="36" totalsRowDxfId="35"/>
    <tableColumn id="15" name="Total" totalsRowFunction="sum" dataDxfId="34" totalsRowDxfId="33">
      <calculatedColumnFormula>SUM(AutresDonnéesOpérationnelles[[#This Row],[janv.-18]:[déc.-18]])</calculatedColumn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Autres données et valeurs de chaque mois dans ce tableau. Le Total est calculé automatiquement "/>
    </ext>
  </extLst>
</table>
</file>

<file path=xl/tables/table5.xml><?xml version="1.0" encoding="utf-8"?>
<table xmlns="http://schemas.openxmlformats.org/spreadsheetml/2006/main" id="5" name="Décaissements" displayName="Décaissements" ref="B48:P53" totalsRowShown="0" headerRowDxfId="32" dataDxfId="31" tableBorderDxfId="30">
  <autoFilter ref="B48:P5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Décaissements" dataDxfId="29" totalsRowDxfId="28"/>
    <tableColumn id="2" name=" " dataDxfId="27" totalsRowDxfId="26"/>
    <tableColumn id="3" name="janv.-18" dataDxfId="25" totalsRowDxfId="24"/>
    <tableColumn id="4" name="févr.-18" dataDxfId="23" totalsRowDxfId="22"/>
    <tableColumn id="5" name="mars-18" dataDxfId="21" totalsRowDxfId="20"/>
    <tableColumn id="6" name="avr.-18" dataDxfId="19" totalsRowDxfId="18"/>
    <tableColumn id="7" name="mai-18" dataDxfId="17" totalsRowDxfId="16"/>
    <tableColumn id="8" name="juin-18" dataDxfId="15" totalsRowDxfId="14"/>
    <tableColumn id="9" name="juil.-18" dataDxfId="13" totalsRowDxfId="12"/>
    <tableColumn id="10" name="août-18" dataDxfId="11" totalsRowDxfId="10"/>
    <tableColumn id="11" name="sept.-18" dataDxfId="9" totalsRowDxfId="8"/>
    <tableColumn id="12" name="oct.-18" dataDxfId="7" totalsRowDxfId="6"/>
    <tableColumn id="13" name="nov.-18" dataDxfId="5" totalsRowDxfId="4"/>
    <tableColumn id="14" name="déc.-18" dataDxfId="3" totalsRowDxfId="2"/>
    <tableColumn id="15" name="Total" dataDxfId="1" totalsRowDxfId="0">
      <calculatedColumnFormula>SUM(D49:O49)</calculatedColumnFormula>
    </tableColumn>
  </tableColumns>
  <tableStyleInfo name="Trésorerie" showFirstColumn="1" showLastColumn="0" showRowStripes="0" showColumnStripes="0"/>
  <extLst>
    <ext xmlns:x14="http://schemas.microsoft.com/office/spreadsheetml/2009/9/main" uri="{504A1905-F514-4f6f-8877-14C23A59335A}">
      <x14:table altTextSummary="Entrez ou modifiez les Décaissements et valeurs de chaque mois dans ce tableau. Le Total décaissements et Trésorerie en fin de mois sont calculés automatiquement à la fin"/>
    </ext>
  </extLst>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7"/>
  <sheetViews>
    <sheetView tabSelected="1" workbookViewId="0">
      <selection activeCell="G6" sqref="G6"/>
    </sheetView>
  </sheetViews>
  <sheetFormatPr baseColWidth="10" defaultRowHeight="14.4" x14ac:dyDescent="0.3"/>
  <cols>
    <col min="1" max="1" width="21.77734375" bestFit="1" customWidth="1"/>
    <col min="2" max="3" width="12.6640625" bestFit="1" customWidth="1"/>
    <col min="4" max="4" width="12.6640625" style="27" customWidth="1"/>
    <col min="5" max="5" width="12.6640625" bestFit="1" customWidth="1"/>
    <col min="6" max="6" width="12.6640625" style="27" bestFit="1" customWidth="1"/>
  </cols>
  <sheetData>
    <row r="2" spans="1:6" x14ac:dyDescent="0.3">
      <c r="A2" s="136"/>
      <c r="B2" s="137" t="s">
        <v>109</v>
      </c>
      <c r="C2" s="137" t="s">
        <v>110</v>
      </c>
      <c r="D2" s="137" t="s">
        <v>111</v>
      </c>
      <c r="E2" s="137" t="s">
        <v>112</v>
      </c>
      <c r="F2" s="137" t="s">
        <v>113</v>
      </c>
    </row>
    <row r="3" spans="1:6" x14ac:dyDescent="0.3">
      <c r="A3" s="119" t="s">
        <v>61</v>
      </c>
      <c r="B3" s="120">
        <v>640000</v>
      </c>
      <c r="C3" s="120">
        <v>640000</v>
      </c>
      <c r="D3" s="120">
        <v>640000</v>
      </c>
      <c r="E3" s="120">
        <v>640000</v>
      </c>
      <c r="F3" s="121">
        <v>640000</v>
      </c>
    </row>
    <row r="4" spans="1:6" x14ac:dyDescent="0.3">
      <c r="A4" s="87" t="s">
        <v>62</v>
      </c>
      <c r="B4" s="79">
        <v>19591.060000000001</v>
      </c>
      <c r="C4" s="79">
        <v>19591.060000000001</v>
      </c>
      <c r="D4" s="79">
        <v>19591.060000000001</v>
      </c>
      <c r="E4" s="79">
        <v>19591.060000000001</v>
      </c>
      <c r="F4" s="122">
        <v>19591.060000000001</v>
      </c>
    </row>
    <row r="5" spans="1:6" x14ac:dyDescent="0.3">
      <c r="A5" s="87" t="s">
        <v>63</v>
      </c>
      <c r="B5" s="79">
        <v>27494.9</v>
      </c>
      <c r="C5" s="79">
        <v>27494.9</v>
      </c>
      <c r="D5" s="79">
        <v>27494.9</v>
      </c>
      <c r="E5" s="79">
        <v>27494.9</v>
      </c>
      <c r="F5" s="122">
        <v>27494.9</v>
      </c>
    </row>
    <row r="6" spans="1:6" x14ac:dyDescent="0.3">
      <c r="A6" s="88" t="s">
        <v>64</v>
      </c>
      <c r="B6" s="80">
        <v>117744.09</v>
      </c>
      <c r="C6" s="80">
        <v>117744.09</v>
      </c>
      <c r="D6" s="80">
        <v>117744.09</v>
      </c>
      <c r="E6" s="80">
        <v>117744.09</v>
      </c>
      <c r="F6" s="123">
        <v>117744.09</v>
      </c>
    </row>
    <row r="7" spans="1:6" x14ac:dyDescent="0.3">
      <c r="A7" s="87" t="s">
        <v>65</v>
      </c>
      <c r="B7" s="79">
        <v>51438</v>
      </c>
      <c r="C7" s="79"/>
      <c r="D7" s="79"/>
      <c r="E7" s="79"/>
      <c r="F7" s="122"/>
    </row>
    <row r="8" spans="1:6" s="81" customFormat="1" x14ac:dyDescent="0.3">
      <c r="A8" s="104" t="s">
        <v>84</v>
      </c>
      <c r="B8" s="124">
        <f>SUM(B4:B7)</f>
        <v>216268.05</v>
      </c>
      <c r="C8" s="124">
        <f t="shared" ref="C8:F8" si="0">SUM(C4:C7)</f>
        <v>164830.04999999999</v>
      </c>
      <c r="D8" s="124">
        <f t="shared" si="0"/>
        <v>164830.04999999999</v>
      </c>
      <c r="E8" s="124">
        <f t="shared" si="0"/>
        <v>164830.04999999999</v>
      </c>
      <c r="F8" s="125">
        <f t="shared" si="0"/>
        <v>164830.04999999999</v>
      </c>
    </row>
    <row r="9" spans="1:6" x14ac:dyDescent="0.3">
      <c r="A9" s="87"/>
      <c r="B9" s="79"/>
      <c r="C9" s="79"/>
      <c r="D9" s="79"/>
      <c r="E9" s="79"/>
      <c r="F9" s="122"/>
    </row>
    <row r="10" spans="1:6" x14ac:dyDescent="0.3">
      <c r="A10" s="87" t="s">
        <v>66</v>
      </c>
      <c r="B10" s="126">
        <v>20000</v>
      </c>
      <c r="C10" s="126">
        <v>20000</v>
      </c>
      <c r="D10" s="126">
        <v>20000</v>
      </c>
      <c r="E10" s="126">
        <v>20000</v>
      </c>
      <c r="F10" s="127">
        <v>20000</v>
      </c>
    </row>
    <row r="11" spans="1:6" x14ac:dyDescent="0.3">
      <c r="A11" s="87" t="s">
        <v>108</v>
      </c>
      <c r="B11" s="126">
        <f>'Cession des titres'!G8-'Cession des titres'!J8-'Cession des titres'!K8</f>
        <v>57080.145923999997</v>
      </c>
      <c r="C11" s="126">
        <f>'Cession des titres'!G8-'Cession des titres'!J8-'Cession des titres'!K8</f>
        <v>57080.145923999997</v>
      </c>
      <c r="D11" s="126">
        <f>'Cession des titres'!G8-'Cession des titres'!J8-'Cession des titres'!K8</f>
        <v>57080.145923999997</v>
      </c>
      <c r="E11" s="126">
        <f>'Cession des titres'!G11-'Cession des titres'!J11-'Cession des titres'!K11</f>
        <v>118089.74731200001</v>
      </c>
      <c r="F11" s="127">
        <f>'Cession des titres'!G11-'Cession des titres'!J11-'Cession des titres'!K11</f>
        <v>118089.74731200001</v>
      </c>
    </row>
    <row r="12" spans="1:6" x14ac:dyDescent="0.3">
      <c r="A12" s="87" t="s">
        <v>67</v>
      </c>
      <c r="B12" s="126">
        <v>100000</v>
      </c>
      <c r="C12" s="126">
        <v>150000</v>
      </c>
      <c r="D12" s="126">
        <v>100000</v>
      </c>
      <c r="E12" s="126">
        <v>100000</v>
      </c>
      <c r="F12" s="127">
        <v>150000</v>
      </c>
    </row>
    <row r="13" spans="1:6" s="81" customFormat="1" x14ac:dyDescent="0.3">
      <c r="A13" s="104" t="s">
        <v>85</v>
      </c>
      <c r="B13" s="128">
        <f>SUM(B10:B12)</f>
        <v>177080.14592400001</v>
      </c>
      <c r="C13" s="128">
        <f t="shared" ref="C13:F13" si="1">SUM(C10:C12)</f>
        <v>227080.14592400001</v>
      </c>
      <c r="D13" s="128">
        <f t="shared" si="1"/>
        <v>177080.14592400001</v>
      </c>
      <c r="E13" s="128">
        <f t="shared" si="1"/>
        <v>238089.74731200002</v>
      </c>
      <c r="F13" s="129">
        <f t="shared" si="1"/>
        <v>288089.74731200002</v>
      </c>
    </row>
    <row r="14" spans="1:6" x14ac:dyDescent="0.3">
      <c r="A14" s="87"/>
      <c r="B14" s="79"/>
      <c r="C14" s="79"/>
      <c r="D14" s="79"/>
      <c r="E14" s="79"/>
      <c r="F14" s="122"/>
    </row>
    <row r="15" spans="1:6" x14ac:dyDescent="0.3">
      <c r="A15" s="130" t="s">
        <v>86</v>
      </c>
      <c r="B15" s="131">
        <f>+B3-B8-B13</f>
        <v>246651.804076</v>
      </c>
      <c r="C15" s="131">
        <f>+C3-C8-C13</f>
        <v>248089.804076</v>
      </c>
      <c r="D15" s="131">
        <f>+D3-D8-D13</f>
        <v>298089.804076</v>
      </c>
      <c r="E15" s="131">
        <f t="shared" ref="E15" si="2">+E3-E8-E13</f>
        <v>237080.20268799999</v>
      </c>
      <c r="F15" s="132">
        <f t="shared" ref="F15" si="3">+F3-F8-F13</f>
        <v>187080.20268799999</v>
      </c>
    </row>
    <row r="16" spans="1:6" x14ac:dyDescent="0.3">
      <c r="A16" s="87"/>
      <c r="B16" s="79"/>
      <c r="C16" s="79"/>
      <c r="D16" s="79"/>
      <c r="E16" s="79"/>
      <c r="F16" s="122"/>
    </row>
    <row r="17" spans="1:6" x14ac:dyDescent="0.3">
      <c r="A17" s="133" t="s">
        <v>87</v>
      </c>
      <c r="B17" s="134">
        <f>+B8+B13+B15</f>
        <v>640000</v>
      </c>
      <c r="C17" s="134">
        <f t="shared" ref="C17:E17" si="4">+C8+C13+C15</f>
        <v>640000</v>
      </c>
      <c r="D17" s="134">
        <f t="shared" ref="D17" si="5">+D8+D13+D15</f>
        <v>640000</v>
      </c>
      <c r="E17" s="134">
        <f t="shared" si="4"/>
        <v>640000</v>
      </c>
      <c r="F17" s="135">
        <f t="shared" ref="F17" si="6">+F8+F13+F15</f>
        <v>640000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Y63"/>
  <sheetViews>
    <sheetView showGridLines="0" zoomScaleNormal="100" workbookViewId="0">
      <selection activeCell="B22" sqref="B22:B27"/>
    </sheetView>
  </sheetViews>
  <sheetFormatPr baseColWidth="10" defaultColWidth="7.21875" defaultRowHeight="10.199999999999999" x14ac:dyDescent="0.2"/>
  <cols>
    <col min="1" max="1" width="2.21875" style="192" customWidth="1"/>
    <col min="2" max="2" width="30.44140625" style="245" bestFit="1" customWidth="1"/>
    <col min="3" max="3" width="11.21875" style="192" customWidth="1"/>
    <col min="4" max="10" width="9.21875" style="192" customWidth="1"/>
    <col min="11" max="16" width="10" style="192" customWidth="1"/>
    <col min="17" max="17" width="2.21875" style="192" customWidth="1"/>
    <col min="18" max="20" width="7.21875" style="192"/>
    <col min="21" max="21" width="9.6640625" style="192" customWidth="1"/>
    <col min="22" max="16384" width="7.21875" style="192"/>
  </cols>
  <sheetData>
    <row r="1" spans="2:25" s="179" customFormat="1" ht="22.5" customHeight="1" x14ac:dyDescent="0.35">
      <c r="B1" s="256" t="s">
        <v>138</v>
      </c>
      <c r="C1" s="256"/>
      <c r="D1" s="256"/>
      <c r="E1" s="256"/>
      <c r="F1" s="256"/>
      <c r="G1" s="256"/>
      <c r="H1" s="256"/>
      <c r="I1" s="256"/>
      <c r="J1" s="256"/>
      <c r="K1" s="256"/>
      <c r="L1" s="256"/>
      <c r="M1" s="256"/>
      <c r="N1" s="256"/>
      <c r="O1" s="256"/>
      <c r="P1" s="256"/>
      <c r="S1" s="180"/>
      <c r="T1" s="180"/>
      <c r="U1" s="180"/>
      <c r="V1" s="180"/>
      <c r="W1" s="180"/>
      <c r="X1" s="180"/>
      <c r="Y1" s="180"/>
    </row>
    <row r="2" spans="2:25" s="179" customFormat="1" ht="18" x14ac:dyDescent="0.35">
      <c r="B2" s="256"/>
      <c r="C2" s="256"/>
      <c r="D2" s="256"/>
      <c r="E2" s="256"/>
      <c r="F2" s="256"/>
      <c r="G2" s="256"/>
      <c r="H2" s="256"/>
      <c r="I2" s="256"/>
      <c r="J2" s="256"/>
      <c r="K2" s="256"/>
      <c r="L2" s="256"/>
      <c r="M2" s="256"/>
      <c r="N2" s="256"/>
      <c r="O2" s="256"/>
      <c r="P2" s="256"/>
      <c r="S2" s="180"/>
      <c r="T2" s="180"/>
      <c r="U2" s="180"/>
      <c r="V2" s="180"/>
      <c r="W2" s="180"/>
      <c r="X2" s="180"/>
      <c r="Y2" s="180"/>
    </row>
    <row r="3" spans="2:25" s="179" customFormat="1" ht="13.8" x14ac:dyDescent="0.3">
      <c r="B3" s="181" t="s">
        <v>139</v>
      </c>
      <c r="C3" s="182">
        <f ca="1">TODAY()</f>
        <v>45987</v>
      </c>
      <c r="S3" s="180"/>
      <c r="T3" s="180"/>
      <c r="U3" s="180"/>
      <c r="V3" s="180"/>
      <c r="W3" s="180"/>
      <c r="X3" s="180"/>
      <c r="Y3" s="180"/>
    </row>
    <row r="4" spans="2:25" s="179" customFormat="1" ht="13.8" x14ac:dyDescent="0.3">
      <c r="B4" s="181" t="s">
        <v>140</v>
      </c>
      <c r="C4" s="183"/>
      <c r="D4" s="184">
        <f t="shared" ref="D4" si="0">Minimum_trésorerie</f>
        <v>0</v>
      </c>
      <c r="E4" s="184">
        <f t="shared" ref="E4:O4" si="1">Minimum_trésorerie</f>
        <v>0</v>
      </c>
      <c r="F4" s="184">
        <f t="shared" si="1"/>
        <v>0</v>
      </c>
      <c r="G4" s="184">
        <f t="shared" si="1"/>
        <v>0</v>
      </c>
      <c r="H4" s="184">
        <f t="shared" si="1"/>
        <v>0</v>
      </c>
      <c r="I4" s="184">
        <f t="shared" si="1"/>
        <v>0</v>
      </c>
      <c r="J4" s="184">
        <f t="shared" si="1"/>
        <v>0</v>
      </c>
      <c r="K4" s="184">
        <f t="shared" si="1"/>
        <v>0</v>
      </c>
      <c r="L4" s="184">
        <f t="shared" si="1"/>
        <v>0</v>
      </c>
      <c r="M4" s="184">
        <f t="shared" si="1"/>
        <v>0</v>
      </c>
      <c r="N4" s="184">
        <f t="shared" si="1"/>
        <v>0</v>
      </c>
      <c r="O4" s="184">
        <f t="shared" si="1"/>
        <v>0</v>
      </c>
      <c r="S4" s="180"/>
      <c r="T4" s="180"/>
      <c r="U4" s="180"/>
      <c r="V4" s="180"/>
      <c r="W4" s="180"/>
      <c r="X4" s="180"/>
      <c r="Y4" s="180"/>
    </row>
    <row r="5" spans="2:25" s="179" customFormat="1" ht="13.8" x14ac:dyDescent="0.3">
      <c r="B5" s="181"/>
      <c r="H5" s="185"/>
      <c r="J5" s="186"/>
      <c r="K5" s="186"/>
      <c r="L5" s="186"/>
      <c r="S5" s="180"/>
      <c r="T5" s="180"/>
      <c r="U5" s="180"/>
      <c r="V5" s="180"/>
      <c r="W5" s="180"/>
      <c r="X5" s="180"/>
      <c r="Y5" s="180"/>
    </row>
    <row r="6" spans="2:25" s="187" customFormat="1" x14ac:dyDescent="0.2">
      <c r="B6" s="188"/>
      <c r="C6" s="189" t="s">
        <v>141</v>
      </c>
      <c r="D6" s="190" t="s">
        <v>142</v>
      </c>
      <c r="E6" s="190" t="s">
        <v>143</v>
      </c>
      <c r="F6" s="190" t="s">
        <v>144</v>
      </c>
      <c r="G6" s="190" t="s">
        <v>145</v>
      </c>
      <c r="H6" s="190" t="s">
        <v>146</v>
      </c>
      <c r="I6" s="190" t="s">
        <v>147</v>
      </c>
      <c r="J6" s="190" t="s">
        <v>148</v>
      </c>
      <c r="K6" s="190" t="s">
        <v>149</v>
      </c>
      <c r="L6" s="190" t="s">
        <v>150</v>
      </c>
      <c r="M6" s="190" t="s">
        <v>151</v>
      </c>
      <c r="N6" s="190" t="s">
        <v>152</v>
      </c>
      <c r="O6" s="190" t="s">
        <v>153</v>
      </c>
      <c r="P6" s="191" t="s">
        <v>14</v>
      </c>
      <c r="S6" s="180"/>
      <c r="T6" s="180"/>
      <c r="U6" s="180"/>
      <c r="V6" s="180"/>
      <c r="W6" s="180"/>
      <c r="X6" s="180"/>
      <c r="Y6" s="180"/>
    </row>
    <row r="7" spans="2:25" x14ac:dyDescent="0.2">
      <c r="B7" s="193" t="s">
        <v>154</v>
      </c>
      <c r="C7" s="194"/>
      <c r="D7" s="195">
        <f t="shared" ref="D7:O7" si="2">C55</f>
        <v>0</v>
      </c>
      <c r="E7" s="195">
        <f t="shared" si="2"/>
        <v>0</v>
      </c>
      <c r="F7" s="195">
        <f t="shared" si="2"/>
        <v>0</v>
      </c>
      <c r="G7" s="195">
        <f t="shared" si="2"/>
        <v>0</v>
      </c>
      <c r="H7" s="195">
        <f t="shared" si="2"/>
        <v>0</v>
      </c>
      <c r="I7" s="195">
        <f t="shared" si="2"/>
        <v>0</v>
      </c>
      <c r="J7" s="195">
        <f t="shared" si="2"/>
        <v>0</v>
      </c>
      <c r="K7" s="195">
        <f t="shared" si="2"/>
        <v>0</v>
      </c>
      <c r="L7" s="195">
        <f t="shared" si="2"/>
        <v>0</v>
      </c>
      <c r="M7" s="195">
        <f t="shared" si="2"/>
        <v>0</v>
      </c>
      <c r="N7" s="195">
        <f t="shared" si="2"/>
        <v>0</v>
      </c>
      <c r="O7" s="195">
        <f t="shared" si="2"/>
        <v>0</v>
      </c>
      <c r="P7" s="196"/>
      <c r="S7" s="180"/>
      <c r="T7" s="180"/>
      <c r="U7" s="180"/>
      <c r="V7" s="180"/>
      <c r="W7" s="180"/>
      <c r="X7" s="180"/>
      <c r="Y7" s="180"/>
    </row>
    <row r="8" spans="2:25" x14ac:dyDescent="0.2">
      <c r="B8" s="197" t="s">
        <v>155</v>
      </c>
      <c r="C8" s="198"/>
      <c r="D8" s="199"/>
      <c r="E8" s="199"/>
      <c r="F8" s="199"/>
      <c r="G8" s="199"/>
      <c r="H8" s="199"/>
      <c r="I8" s="199"/>
      <c r="J8" s="199"/>
      <c r="K8" s="199"/>
      <c r="L8" s="199"/>
      <c r="M8" s="199"/>
      <c r="N8" s="199"/>
      <c r="O8" s="199"/>
      <c r="P8" s="200"/>
      <c r="S8" s="180"/>
      <c r="T8" s="180"/>
      <c r="U8" s="180"/>
      <c r="V8" s="180"/>
      <c r="W8" s="180"/>
      <c r="X8" s="180"/>
      <c r="Y8" s="180"/>
    </row>
    <row r="9" spans="2:25" x14ac:dyDescent="0.2">
      <c r="B9" s="197" t="s">
        <v>156</v>
      </c>
      <c r="C9" s="198"/>
      <c r="D9" s="199"/>
      <c r="E9" s="199"/>
      <c r="F9" s="199"/>
      <c r="G9" s="199"/>
      <c r="H9" s="199"/>
      <c r="I9" s="199"/>
      <c r="J9" s="199"/>
      <c r="K9" s="199"/>
      <c r="L9" s="199"/>
      <c r="M9" s="199"/>
      <c r="N9" s="199"/>
      <c r="O9" s="199"/>
      <c r="P9" s="200"/>
      <c r="S9" s="180"/>
      <c r="T9" s="180"/>
      <c r="U9" s="180"/>
      <c r="V9" s="180"/>
      <c r="W9" s="180"/>
      <c r="X9" s="180"/>
      <c r="Y9" s="180"/>
    </row>
    <row r="10" spans="2:25" x14ac:dyDescent="0.2">
      <c r="B10" s="188"/>
      <c r="C10" s="201"/>
      <c r="D10" s="201"/>
      <c r="E10" s="201"/>
      <c r="F10" s="201"/>
      <c r="G10" s="201"/>
      <c r="H10" s="201"/>
      <c r="I10" s="201"/>
      <c r="J10" s="201"/>
      <c r="K10" s="201"/>
      <c r="L10" s="201"/>
      <c r="M10" s="201"/>
      <c r="N10" s="201"/>
      <c r="O10" s="201"/>
      <c r="P10" s="201"/>
      <c r="Q10" s="187"/>
      <c r="S10" s="180"/>
      <c r="T10" s="180"/>
      <c r="U10" s="180"/>
      <c r="V10" s="180"/>
      <c r="W10" s="180"/>
      <c r="X10" s="180"/>
      <c r="Y10" s="180"/>
    </row>
    <row r="11" spans="2:25" x14ac:dyDescent="0.2">
      <c r="B11" s="202" t="s">
        <v>157</v>
      </c>
      <c r="C11" s="203" t="s">
        <v>158</v>
      </c>
      <c r="D11" s="190" t="s">
        <v>142</v>
      </c>
      <c r="E11" s="190" t="s">
        <v>143</v>
      </c>
      <c r="F11" s="190" t="s">
        <v>144</v>
      </c>
      <c r="G11" s="190" t="s">
        <v>145</v>
      </c>
      <c r="H11" s="190" t="s">
        <v>146</v>
      </c>
      <c r="I11" s="190" t="s">
        <v>147</v>
      </c>
      <c r="J11" s="190" t="s">
        <v>148</v>
      </c>
      <c r="K11" s="190" t="s">
        <v>149</v>
      </c>
      <c r="L11" s="190" t="s">
        <v>150</v>
      </c>
      <c r="M11" s="190" t="s">
        <v>151</v>
      </c>
      <c r="N11" s="190" t="s">
        <v>152</v>
      </c>
      <c r="O11" s="190" t="s">
        <v>153</v>
      </c>
      <c r="P11" s="204" t="s">
        <v>14</v>
      </c>
      <c r="S11" s="180"/>
      <c r="T11" s="180"/>
      <c r="U11" s="180"/>
      <c r="V11" s="180"/>
      <c r="W11" s="180"/>
      <c r="X11" s="180"/>
      <c r="Y11" s="180"/>
    </row>
    <row r="12" spans="2:25" x14ac:dyDescent="0.2">
      <c r="B12" s="205" t="s">
        <v>159</v>
      </c>
      <c r="C12" s="206"/>
      <c r="D12" s="183"/>
      <c r="E12" s="183"/>
      <c r="F12" s="183"/>
      <c r="G12" s="183"/>
      <c r="H12" s="183"/>
      <c r="I12" s="183"/>
      <c r="J12" s="183"/>
      <c r="K12" s="183"/>
      <c r="L12" s="183"/>
      <c r="M12" s="183"/>
      <c r="N12" s="183"/>
      <c r="O12" s="183"/>
      <c r="P12" s="207">
        <f t="shared" ref="P12:P17" si="3">SUM(D12:O12)</f>
        <v>0</v>
      </c>
      <c r="S12" s="180"/>
      <c r="T12" s="180"/>
      <c r="U12" s="180"/>
      <c r="V12" s="180"/>
      <c r="W12" s="180"/>
      <c r="X12" s="180"/>
      <c r="Y12" s="180"/>
    </row>
    <row r="13" spans="2:25" x14ac:dyDescent="0.2">
      <c r="B13" s="205" t="s">
        <v>160</v>
      </c>
      <c r="C13" s="206"/>
      <c r="D13" s="183"/>
      <c r="E13" s="183"/>
      <c r="F13" s="183"/>
      <c r="G13" s="183"/>
      <c r="H13" s="183"/>
      <c r="I13" s="183"/>
      <c r="J13" s="183"/>
      <c r="K13" s="183"/>
      <c r="L13" s="183"/>
      <c r="M13" s="183"/>
      <c r="N13" s="183"/>
      <c r="O13" s="183"/>
      <c r="P13" s="207">
        <f t="shared" si="3"/>
        <v>0</v>
      </c>
      <c r="S13" s="180"/>
      <c r="T13" s="180"/>
      <c r="U13" s="180"/>
      <c r="V13" s="180"/>
      <c r="W13" s="180"/>
      <c r="X13" s="180"/>
      <c r="Y13" s="180"/>
    </row>
    <row r="14" spans="2:25" x14ac:dyDescent="0.2">
      <c r="B14" s="205" t="s">
        <v>161</v>
      </c>
      <c r="C14" s="206"/>
      <c r="D14" s="198"/>
      <c r="E14" s="198"/>
      <c r="F14" s="198"/>
      <c r="G14" s="198"/>
      <c r="H14" s="198"/>
      <c r="I14" s="198"/>
      <c r="J14" s="198"/>
      <c r="K14" s="198"/>
      <c r="L14" s="198"/>
      <c r="M14" s="198"/>
      <c r="N14" s="198"/>
      <c r="O14" s="198"/>
      <c r="P14" s="207">
        <f t="shared" si="3"/>
        <v>0</v>
      </c>
      <c r="S14" s="180"/>
      <c r="T14" s="180"/>
      <c r="U14" s="180"/>
      <c r="V14" s="180"/>
      <c r="W14" s="180"/>
      <c r="X14" s="180"/>
      <c r="Y14" s="180"/>
    </row>
    <row r="15" spans="2:25" x14ac:dyDescent="0.2">
      <c r="B15" s="205" t="s">
        <v>162</v>
      </c>
      <c r="C15" s="206"/>
      <c r="D15" s="198"/>
      <c r="E15" s="198"/>
      <c r="F15" s="198"/>
      <c r="G15" s="198"/>
      <c r="H15" s="198"/>
      <c r="I15" s="198"/>
      <c r="J15" s="198"/>
      <c r="K15" s="198"/>
      <c r="L15" s="198"/>
      <c r="M15" s="198"/>
      <c r="N15" s="198"/>
      <c r="O15" s="198"/>
      <c r="P15" s="207">
        <f t="shared" si="3"/>
        <v>0</v>
      </c>
      <c r="S15" s="180"/>
      <c r="T15" s="180"/>
      <c r="U15" s="180"/>
      <c r="V15" s="180"/>
      <c r="W15" s="180"/>
      <c r="X15" s="180"/>
      <c r="Y15" s="180"/>
    </row>
    <row r="16" spans="2:25" x14ac:dyDescent="0.2">
      <c r="B16" s="205" t="s">
        <v>163</v>
      </c>
      <c r="C16" s="206"/>
      <c r="D16" s="198"/>
      <c r="E16" s="198"/>
      <c r="F16" s="198"/>
      <c r="G16" s="198"/>
      <c r="H16" s="198"/>
      <c r="I16" s="198"/>
      <c r="J16" s="198"/>
      <c r="K16" s="198"/>
      <c r="L16" s="198"/>
      <c r="M16" s="198"/>
      <c r="N16" s="198"/>
      <c r="O16" s="198"/>
      <c r="P16" s="207">
        <f t="shared" si="3"/>
        <v>0</v>
      </c>
      <c r="S16" s="180"/>
      <c r="T16" s="180"/>
      <c r="U16" s="180"/>
      <c r="V16" s="180"/>
      <c r="W16" s="180"/>
      <c r="X16" s="180"/>
      <c r="Y16" s="180"/>
    </row>
    <row r="17" spans="2:25" x14ac:dyDescent="0.2">
      <c r="B17" s="205" t="s">
        <v>164</v>
      </c>
      <c r="C17" s="206"/>
      <c r="D17" s="198"/>
      <c r="E17" s="198"/>
      <c r="F17" s="198"/>
      <c r="G17" s="198"/>
      <c r="H17" s="198"/>
      <c r="I17" s="198"/>
      <c r="J17" s="198"/>
      <c r="K17" s="198"/>
      <c r="L17" s="198"/>
      <c r="M17" s="198"/>
      <c r="N17" s="198"/>
      <c r="O17" s="198"/>
      <c r="P17" s="207">
        <f t="shared" si="3"/>
        <v>0</v>
      </c>
      <c r="S17" s="180"/>
      <c r="T17" s="180"/>
      <c r="U17" s="180"/>
      <c r="V17" s="180"/>
      <c r="W17" s="180"/>
      <c r="X17" s="180"/>
      <c r="Y17" s="180"/>
    </row>
    <row r="18" spans="2:25" x14ac:dyDescent="0.2">
      <c r="B18" s="208" t="s">
        <v>165</v>
      </c>
      <c r="C18" s="209"/>
      <c r="D18" s="210">
        <f t="shared" ref="D18:O18" si="4">SUM(D12,D14:D17,(D13*-1))</f>
        <v>0</v>
      </c>
      <c r="E18" s="210">
        <f t="shared" si="4"/>
        <v>0</v>
      </c>
      <c r="F18" s="199">
        <f t="shared" si="4"/>
        <v>0</v>
      </c>
      <c r="G18" s="199">
        <f t="shared" si="4"/>
        <v>0</v>
      </c>
      <c r="H18" s="199">
        <f t="shared" si="4"/>
        <v>0</v>
      </c>
      <c r="I18" s="199">
        <f t="shared" si="4"/>
        <v>0</v>
      </c>
      <c r="J18" s="199">
        <f t="shared" si="4"/>
        <v>0</v>
      </c>
      <c r="K18" s="199">
        <f t="shared" si="4"/>
        <v>0</v>
      </c>
      <c r="L18" s="199">
        <f t="shared" si="4"/>
        <v>0</v>
      </c>
      <c r="M18" s="199">
        <f t="shared" si="4"/>
        <v>0</v>
      </c>
      <c r="N18" s="199">
        <f t="shared" si="4"/>
        <v>0</v>
      </c>
      <c r="O18" s="199">
        <f t="shared" si="4"/>
        <v>0</v>
      </c>
      <c r="P18" s="211">
        <f>SUBTOTAL(109,Encaissements[Total])</f>
        <v>0</v>
      </c>
      <c r="S18" s="180"/>
      <c r="T18" s="180"/>
      <c r="U18" s="180"/>
      <c r="V18" s="180"/>
      <c r="W18" s="180"/>
      <c r="X18" s="180"/>
      <c r="Y18" s="180"/>
    </row>
    <row r="19" spans="2:25" s="187" customFormat="1" x14ac:dyDescent="0.2">
      <c r="B19" s="193" t="s">
        <v>166</v>
      </c>
      <c r="C19" s="212">
        <f>(C7+Encaissements[[#Totals],[ ]])</f>
        <v>0</v>
      </c>
      <c r="D19" s="212">
        <f>(D7+Encaissements[[#Totals],[janv.-26]])</f>
        <v>0</v>
      </c>
      <c r="E19" s="212">
        <f>(E7+Encaissements[[#Totals],[févr.-26]])</f>
        <v>0</v>
      </c>
      <c r="F19" s="212">
        <f>(F7+Encaissements[[#Totals],[mars-26]])</f>
        <v>0</v>
      </c>
      <c r="G19" s="212">
        <f>(G7+Encaissements[[#Totals],[avr.-26]])</f>
        <v>0</v>
      </c>
      <c r="H19" s="212">
        <f>(H7+Encaissements[[#Totals],[mai-26]])</f>
        <v>0</v>
      </c>
      <c r="I19" s="212">
        <f>(I7+Encaissements[[#Totals],[juin-26]])</f>
        <v>0</v>
      </c>
      <c r="J19" s="212">
        <f>(J7+Encaissements[[#Totals],[juil.-26]])</f>
        <v>0</v>
      </c>
      <c r="K19" s="212">
        <f>(K7+Encaissements[[#Totals],[août-26]])</f>
        <v>0</v>
      </c>
      <c r="L19" s="212">
        <f>(L7+Encaissements[[#Totals],[sept.-26]])</f>
        <v>0</v>
      </c>
      <c r="M19" s="212">
        <f>(M7+Encaissements[[#Totals],[oct.-26]])</f>
        <v>0</v>
      </c>
      <c r="N19" s="212">
        <f>(N7+Encaissements[[#Totals],[nov.-26]])</f>
        <v>0</v>
      </c>
      <c r="O19" s="212">
        <f>(O7+Encaissements[[#Totals],[déc.-26]])</f>
        <v>0</v>
      </c>
      <c r="P19" s="206"/>
      <c r="S19" s="180"/>
      <c r="T19" s="180"/>
      <c r="U19" s="180"/>
      <c r="V19" s="180"/>
      <c r="W19" s="180"/>
      <c r="X19" s="180"/>
      <c r="Y19" s="180"/>
    </row>
    <row r="20" spans="2:25" s="213" customFormat="1" x14ac:dyDescent="0.2">
      <c r="B20" s="214"/>
      <c r="C20" s="215"/>
      <c r="D20" s="215"/>
      <c r="E20" s="215"/>
      <c r="F20" s="215"/>
      <c r="G20" s="215"/>
      <c r="H20" s="215"/>
      <c r="I20" s="215"/>
      <c r="J20" s="215"/>
      <c r="K20" s="215"/>
      <c r="L20" s="215"/>
      <c r="M20" s="215"/>
      <c r="N20" s="215"/>
      <c r="O20" s="215"/>
      <c r="P20" s="216"/>
      <c r="S20" s="180"/>
      <c r="T20" s="180"/>
      <c r="U20" s="180"/>
      <c r="V20" s="180"/>
      <c r="W20" s="180"/>
      <c r="X20" s="180"/>
      <c r="Y20" s="180"/>
    </row>
    <row r="21" spans="2:25" x14ac:dyDescent="0.2">
      <c r="B21" s="202" t="s">
        <v>167</v>
      </c>
      <c r="C21" s="203" t="s">
        <v>158</v>
      </c>
      <c r="D21" s="190" t="s">
        <v>142</v>
      </c>
      <c r="E21" s="190" t="s">
        <v>143</v>
      </c>
      <c r="F21" s="190" t="s">
        <v>144</v>
      </c>
      <c r="G21" s="190" t="s">
        <v>145</v>
      </c>
      <c r="H21" s="190" t="s">
        <v>146</v>
      </c>
      <c r="I21" s="190" t="s">
        <v>147</v>
      </c>
      <c r="J21" s="190" t="s">
        <v>148</v>
      </c>
      <c r="K21" s="190" t="s">
        <v>149</v>
      </c>
      <c r="L21" s="190" t="s">
        <v>150</v>
      </c>
      <c r="M21" s="190" t="s">
        <v>151</v>
      </c>
      <c r="N21" s="190" t="s">
        <v>152</v>
      </c>
      <c r="O21" s="190" t="s">
        <v>153</v>
      </c>
      <c r="P21" s="204" t="s">
        <v>14</v>
      </c>
      <c r="S21" s="180"/>
      <c r="T21" s="180"/>
      <c r="U21" s="180"/>
      <c r="V21" s="180"/>
      <c r="W21" s="180"/>
      <c r="X21" s="180"/>
      <c r="Y21" s="180"/>
    </row>
    <row r="22" spans="2:25" x14ac:dyDescent="0.2">
      <c r="B22" s="217" t="s">
        <v>168</v>
      </c>
      <c r="C22" s="206"/>
      <c r="D22" s="183"/>
      <c r="E22" s="183"/>
      <c r="F22" s="183"/>
      <c r="G22" s="183"/>
      <c r="H22" s="183"/>
      <c r="I22" s="183"/>
      <c r="J22" s="183"/>
      <c r="K22" s="183"/>
      <c r="L22" s="183"/>
      <c r="M22" s="183"/>
      <c r="N22" s="183"/>
      <c r="O22" s="183"/>
      <c r="P22" s="207">
        <f t="shared" ref="P22:P46" si="5">SUM(D22:O22)</f>
        <v>0</v>
      </c>
      <c r="S22" s="180"/>
      <c r="T22" s="180"/>
      <c r="U22" s="180"/>
      <c r="V22" s="180"/>
      <c r="W22" s="180"/>
      <c r="X22" s="180"/>
      <c r="Y22" s="180"/>
    </row>
    <row r="23" spans="2:25" x14ac:dyDescent="0.2">
      <c r="B23" s="217" t="s">
        <v>169</v>
      </c>
      <c r="C23" s="206"/>
      <c r="D23" s="183"/>
      <c r="E23" s="183"/>
      <c r="F23" s="183"/>
      <c r="G23" s="183"/>
      <c r="H23" s="183"/>
      <c r="I23" s="183"/>
      <c r="J23" s="183"/>
      <c r="K23" s="183"/>
      <c r="L23" s="183"/>
      <c r="M23" s="183"/>
      <c r="N23" s="183"/>
      <c r="O23" s="183"/>
      <c r="P23" s="207">
        <f t="shared" si="5"/>
        <v>0</v>
      </c>
      <c r="S23" s="180"/>
      <c r="T23" s="180"/>
      <c r="U23" s="180"/>
      <c r="V23" s="180"/>
      <c r="W23" s="180"/>
      <c r="X23" s="180"/>
      <c r="Y23" s="180"/>
    </row>
    <row r="24" spans="2:25" x14ac:dyDescent="0.2">
      <c r="B24" s="217" t="s">
        <v>170</v>
      </c>
      <c r="C24" s="206"/>
      <c r="D24" s="183"/>
      <c r="E24" s="183"/>
      <c r="F24" s="183"/>
      <c r="G24" s="183"/>
      <c r="H24" s="183"/>
      <c r="I24" s="183"/>
      <c r="J24" s="183"/>
      <c r="K24" s="183"/>
      <c r="L24" s="183"/>
      <c r="M24" s="183"/>
      <c r="N24" s="183"/>
      <c r="O24" s="183"/>
      <c r="P24" s="207">
        <f t="shared" si="5"/>
        <v>0</v>
      </c>
      <c r="S24" s="180"/>
      <c r="T24" s="180"/>
      <c r="U24" s="180"/>
      <c r="V24" s="180"/>
      <c r="W24" s="180"/>
      <c r="X24" s="180"/>
      <c r="Y24" s="180"/>
    </row>
    <row r="25" spans="2:25" x14ac:dyDescent="0.2">
      <c r="B25" s="217" t="s">
        <v>171</v>
      </c>
      <c r="C25" s="206"/>
      <c r="D25" s="183"/>
      <c r="E25" s="183"/>
      <c r="F25" s="183"/>
      <c r="G25" s="183"/>
      <c r="H25" s="183"/>
      <c r="I25" s="183"/>
      <c r="J25" s="183"/>
      <c r="K25" s="183"/>
      <c r="L25" s="183"/>
      <c r="M25" s="183"/>
      <c r="N25" s="183"/>
      <c r="O25" s="183"/>
      <c r="P25" s="207">
        <f t="shared" si="5"/>
        <v>0</v>
      </c>
      <c r="S25" s="180"/>
      <c r="T25" s="180"/>
      <c r="U25" s="180"/>
      <c r="V25" s="180"/>
      <c r="W25" s="180"/>
      <c r="X25" s="180"/>
      <c r="Y25" s="180"/>
    </row>
    <row r="26" spans="2:25" x14ac:dyDescent="0.2">
      <c r="B26" s="217" t="s">
        <v>172</v>
      </c>
      <c r="C26" s="206"/>
      <c r="D26" s="183"/>
      <c r="E26" s="183"/>
      <c r="F26" s="183"/>
      <c r="G26" s="183"/>
      <c r="H26" s="183"/>
      <c r="I26" s="183"/>
      <c r="J26" s="183"/>
      <c r="K26" s="183"/>
      <c r="L26" s="183"/>
      <c r="M26" s="183"/>
      <c r="N26" s="183"/>
      <c r="O26" s="183"/>
      <c r="P26" s="207">
        <f t="shared" si="5"/>
        <v>0</v>
      </c>
      <c r="S26" s="180"/>
      <c r="T26" s="180"/>
      <c r="U26" s="180"/>
      <c r="V26" s="180"/>
      <c r="W26" s="180"/>
      <c r="X26" s="180"/>
      <c r="Y26" s="180"/>
    </row>
    <row r="27" spans="2:25" x14ac:dyDescent="0.2">
      <c r="B27" s="218" t="s">
        <v>173</v>
      </c>
      <c r="C27" s="206"/>
      <c r="D27" s="183"/>
      <c r="E27" s="183"/>
      <c r="F27" s="183"/>
      <c r="G27" s="183"/>
      <c r="H27" s="183"/>
      <c r="I27" s="183"/>
      <c r="J27" s="183"/>
      <c r="K27" s="183"/>
      <c r="L27" s="183"/>
      <c r="M27" s="183"/>
      <c r="N27" s="183"/>
      <c r="O27" s="183"/>
      <c r="P27" s="207">
        <f t="shared" si="5"/>
        <v>0</v>
      </c>
      <c r="S27" s="180"/>
      <c r="T27" s="180"/>
      <c r="U27" s="180"/>
      <c r="V27" s="180"/>
      <c r="W27" s="180"/>
      <c r="X27" s="180"/>
      <c r="Y27" s="180"/>
    </row>
    <row r="28" spans="2:25" x14ac:dyDescent="0.2">
      <c r="B28" s="217" t="s">
        <v>174</v>
      </c>
      <c r="C28" s="206"/>
      <c r="D28" s="183"/>
      <c r="E28" s="183"/>
      <c r="F28" s="183"/>
      <c r="G28" s="183"/>
      <c r="H28" s="183"/>
      <c r="I28" s="183"/>
      <c r="J28" s="183"/>
      <c r="K28" s="183"/>
      <c r="L28" s="183"/>
      <c r="M28" s="183"/>
      <c r="N28" s="183"/>
      <c r="O28" s="183"/>
      <c r="P28" s="207">
        <f t="shared" si="5"/>
        <v>0</v>
      </c>
      <c r="S28" s="180"/>
      <c r="T28" s="180"/>
      <c r="U28" s="180"/>
      <c r="V28" s="180"/>
      <c r="W28" s="180"/>
      <c r="X28" s="180"/>
      <c r="Y28" s="180"/>
    </row>
    <row r="29" spans="2:25" x14ac:dyDescent="0.2">
      <c r="B29" s="217" t="s">
        <v>175</v>
      </c>
      <c r="C29" s="206"/>
      <c r="D29" s="198"/>
      <c r="E29" s="198"/>
      <c r="F29" s="198"/>
      <c r="G29" s="198"/>
      <c r="H29" s="198"/>
      <c r="I29" s="198"/>
      <c r="J29" s="198"/>
      <c r="K29" s="198"/>
      <c r="L29" s="198"/>
      <c r="M29" s="198"/>
      <c r="N29" s="198"/>
      <c r="O29" s="198"/>
      <c r="P29" s="207">
        <f t="shared" si="5"/>
        <v>0</v>
      </c>
      <c r="S29" s="180"/>
      <c r="T29" s="180"/>
      <c r="U29" s="180"/>
      <c r="V29" s="180"/>
      <c r="W29" s="180"/>
      <c r="X29" s="180"/>
      <c r="Y29" s="180"/>
    </row>
    <row r="30" spans="2:25" x14ac:dyDescent="0.2">
      <c r="B30" s="217" t="s">
        <v>176</v>
      </c>
      <c r="C30" s="206"/>
      <c r="D30" s="198"/>
      <c r="E30" s="198"/>
      <c r="F30" s="198"/>
      <c r="G30" s="198"/>
      <c r="H30" s="198"/>
      <c r="I30" s="198"/>
      <c r="J30" s="198"/>
      <c r="K30" s="198"/>
      <c r="L30" s="198"/>
      <c r="M30" s="198"/>
      <c r="N30" s="198"/>
      <c r="O30" s="198"/>
      <c r="P30" s="207">
        <f t="shared" si="5"/>
        <v>0</v>
      </c>
      <c r="S30" s="180"/>
      <c r="T30" s="180"/>
      <c r="U30" s="180"/>
      <c r="V30" s="180"/>
      <c r="W30" s="180"/>
      <c r="X30" s="180"/>
      <c r="Y30" s="180"/>
    </row>
    <row r="31" spans="2:25" x14ac:dyDescent="0.2">
      <c r="B31" s="217" t="s">
        <v>177</v>
      </c>
      <c r="C31" s="206"/>
      <c r="D31" s="198"/>
      <c r="E31" s="198"/>
      <c r="F31" s="198"/>
      <c r="G31" s="198"/>
      <c r="H31" s="198"/>
      <c r="I31" s="198"/>
      <c r="J31" s="198"/>
      <c r="K31" s="198"/>
      <c r="L31" s="198"/>
      <c r="M31" s="198"/>
      <c r="N31" s="198"/>
      <c r="O31" s="198"/>
      <c r="P31" s="207">
        <f t="shared" si="5"/>
        <v>0</v>
      </c>
      <c r="S31" s="180"/>
      <c r="T31" s="180"/>
      <c r="U31" s="180"/>
      <c r="V31" s="180"/>
      <c r="W31" s="180"/>
      <c r="X31" s="180"/>
      <c r="Y31" s="180"/>
    </row>
    <row r="32" spans="2:25" x14ac:dyDescent="0.2">
      <c r="B32" s="217" t="s">
        <v>178</v>
      </c>
      <c r="C32" s="206"/>
      <c r="D32" s="198"/>
      <c r="E32" s="198"/>
      <c r="F32" s="198"/>
      <c r="G32" s="198"/>
      <c r="H32" s="198"/>
      <c r="I32" s="198"/>
      <c r="J32" s="198"/>
      <c r="K32" s="198"/>
      <c r="L32" s="198"/>
      <c r="M32" s="198"/>
      <c r="N32" s="198"/>
      <c r="O32" s="198"/>
      <c r="P32" s="207">
        <f t="shared" si="5"/>
        <v>0</v>
      </c>
      <c r="S32" s="180"/>
      <c r="T32" s="180"/>
      <c r="U32" s="180"/>
      <c r="V32" s="180"/>
      <c r="W32" s="180"/>
      <c r="X32" s="180"/>
      <c r="Y32" s="180"/>
    </row>
    <row r="33" spans="2:25" x14ac:dyDescent="0.2">
      <c r="B33" s="217" t="s">
        <v>179</v>
      </c>
      <c r="C33" s="206"/>
      <c r="D33" s="198"/>
      <c r="E33" s="198"/>
      <c r="F33" s="198"/>
      <c r="G33" s="198"/>
      <c r="H33" s="198"/>
      <c r="I33" s="198"/>
      <c r="J33" s="198"/>
      <c r="K33" s="198"/>
      <c r="L33" s="198"/>
      <c r="M33" s="198"/>
      <c r="N33" s="198"/>
      <c r="O33" s="198"/>
      <c r="P33" s="207">
        <f t="shared" si="5"/>
        <v>0</v>
      </c>
      <c r="S33" s="180"/>
      <c r="T33" s="180"/>
      <c r="U33" s="180"/>
      <c r="V33" s="180"/>
      <c r="W33" s="180"/>
      <c r="X33" s="180"/>
      <c r="Y33" s="180"/>
    </row>
    <row r="34" spans="2:25" x14ac:dyDescent="0.2">
      <c r="B34" s="217" t="s">
        <v>180</v>
      </c>
      <c r="C34" s="206"/>
      <c r="D34" s="198"/>
      <c r="E34" s="198"/>
      <c r="F34" s="198"/>
      <c r="G34" s="198"/>
      <c r="H34" s="198"/>
      <c r="I34" s="198"/>
      <c r="J34" s="198"/>
      <c r="K34" s="198"/>
      <c r="L34" s="198"/>
      <c r="M34" s="198"/>
      <c r="N34" s="198"/>
      <c r="O34" s="198"/>
      <c r="P34" s="207">
        <f t="shared" si="5"/>
        <v>0</v>
      </c>
      <c r="S34" s="180"/>
      <c r="T34" s="180"/>
      <c r="U34" s="180"/>
      <c r="V34" s="180"/>
      <c r="W34" s="180"/>
      <c r="X34" s="180"/>
      <c r="Y34" s="180"/>
    </row>
    <row r="35" spans="2:25" x14ac:dyDescent="0.2">
      <c r="B35" s="217" t="s">
        <v>181</v>
      </c>
      <c r="C35" s="206"/>
      <c r="D35" s="198"/>
      <c r="E35" s="198"/>
      <c r="F35" s="198"/>
      <c r="G35" s="198"/>
      <c r="H35" s="198"/>
      <c r="I35" s="198"/>
      <c r="J35" s="198"/>
      <c r="K35" s="198"/>
      <c r="L35" s="198"/>
      <c r="M35" s="198"/>
      <c r="N35" s="198"/>
      <c r="O35" s="198"/>
      <c r="P35" s="207">
        <f t="shared" si="5"/>
        <v>0</v>
      </c>
      <c r="S35" s="180"/>
      <c r="T35" s="180"/>
      <c r="U35" s="180"/>
      <c r="V35" s="180"/>
      <c r="W35" s="180"/>
      <c r="X35" s="180"/>
      <c r="Y35" s="180"/>
    </row>
    <row r="36" spans="2:25" x14ac:dyDescent="0.2">
      <c r="B36" s="217" t="s">
        <v>182</v>
      </c>
      <c r="C36" s="206"/>
      <c r="D36" s="198"/>
      <c r="E36" s="198"/>
      <c r="F36" s="198"/>
      <c r="G36" s="198"/>
      <c r="H36" s="198"/>
      <c r="I36" s="198"/>
      <c r="J36" s="198"/>
      <c r="K36" s="198"/>
      <c r="L36" s="198"/>
      <c r="M36" s="198"/>
      <c r="N36" s="198"/>
      <c r="O36" s="198"/>
      <c r="P36" s="207">
        <f t="shared" si="5"/>
        <v>0</v>
      </c>
    </row>
    <row r="37" spans="2:25" x14ac:dyDescent="0.2">
      <c r="B37" s="217" t="s">
        <v>183</v>
      </c>
      <c r="C37" s="206"/>
      <c r="D37" s="198"/>
      <c r="E37" s="198"/>
      <c r="F37" s="198"/>
      <c r="G37" s="198"/>
      <c r="H37" s="198"/>
      <c r="I37" s="198"/>
      <c r="J37" s="198"/>
      <c r="K37" s="198"/>
      <c r="L37" s="198"/>
      <c r="M37" s="198"/>
      <c r="N37" s="198"/>
      <c r="O37" s="198"/>
      <c r="P37" s="207">
        <f t="shared" si="5"/>
        <v>0</v>
      </c>
    </row>
    <row r="38" spans="2:25" x14ac:dyDescent="0.2">
      <c r="B38" s="217" t="s">
        <v>184</v>
      </c>
      <c r="C38" s="206"/>
      <c r="D38" s="198"/>
      <c r="E38" s="198"/>
      <c r="F38" s="198"/>
      <c r="G38" s="198"/>
      <c r="H38" s="198"/>
      <c r="I38" s="198"/>
      <c r="J38" s="198"/>
      <c r="K38" s="198"/>
      <c r="L38" s="198"/>
      <c r="M38" s="198"/>
      <c r="N38" s="198"/>
      <c r="O38" s="198"/>
      <c r="P38" s="207">
        <f t="shared" si="5"/>
        <v>0</v>
      </c>
    </row>
    <row r="39" spans="2:25" x14ac:dyDescent="0.2">
      <c r="B39" s="217" t="s">
        <v>185</v>
      </c>
      <c r="C39" s="206"/>
      <c r="D39" s="198"/>
      <c r="E39" s="198"/>
      <c r="F39" s="198"/>
      <c r="G39" s="198"/>
      <c r="H39" s="198"/>
      <c r="I39" s="198"/>
      <c r="J39" s="198"/>
      <c r="K39" s="198"/>
      <c r="L39" s="198"/>
      <c r="M39" s="198"/>
      <c r="N39" s="198"/>
      <c r="O39" s="198"/>
      <c r="P39" s="207">
        <f t="shared" si="5"/>
        <v>0</v>
      </c>
    </row>
    <row r="40" spans="2:25" x14ac:dyDescent="0.2">
      <c r="B40" s="217" t="s">
        <v>186</v>
      </c>
      <c r="C40" s="206"/>
      <c r="D40" s="198"/>
      <c r="E40" s="198"/>
      <c r="F40" s="198"/>
      <c r="G40" s="198"/>
      <c r="H40" s="198"/>
      <c r="I40" s="198"/>
      <c r="J40" s="198"/>
      <c r="K40" s="198"/>
      <c r="L40" s="198"/>
      <c r="M40" s="198"/>
      <c r="N40" s="198"/>
      <c r="O40" s="198"/>
      <c r="P40" s="207">
        <f t="shared" si="5"/>
        <v>0</v>
      </c>
    </row>
    <row r="41" spans="2:25" x14ac:dyDescent="0.2">
      <c r="B41" s="217" t="s">
        <v>187</v>
      </c>
      <c r="C41" s="206"/>
      <c r="D41" s="198"/>
      <c r="E41" s="198"/>
      <c r="F41" s="198"/>
      <c r="G41" s="198"/>
      <c r="H41" s="198"/>
      <c r="I41" s="198"/>
      <c r="J41" s="198"/>
      <c r="K41" s="198"/>
      <c r="L41" s="198"/>
      <c r="M41" s="198"/>
      <c r="N41" s="198"/>
      <c r="O41" s="198"/>
      <c r="P41" s="207">
        <f t="shared" si="5"/>
        <v>0</v>
      </c>
    </row>
    <row r="42" spans="2:25" x14ac:dyDescent="0.2">
      <c r="B42" s="219" t="s">
        <v>188</v>
      </c>
      <c r="C42" s="206"/>
      <c r="D42" s="198"/>
      <c r="E42" s="198"/>
      <c r="F42" s="198"/>
      <c r="G42" s="198"/>
      <c r="H42" s="198"/>
      <c r="I42" s="198"/>
      <c r="J42" s="198"/>
      <c r="K42" s="198"/>
      <c r="L42" s="198"/>
      <c r="M42" s="198"/>
      <c r="N42" s="198"/>
      <c r="O42" s="198"/>
      <c r="P42" s="207">
        <f t="shared" si="5"/>
        <v>0</v>
      </c>
    </row>
    <row r="43" spans="2:25" x14ac:dyDescent="0.2">
      <c r="B43" s="220" t="s">
        <v>189</v>
      </c>
      <c r="C43" s="206"/>
      <c r="D43" s="198"/>
      <c r="E43" s="198"/>
      <c r="F43" s="198"/>
      <c r="G43" s="198"/>
      <c r="H43" s="198"/>
      <c r="I43" s="198"/>
      <c r="J43" s="198"/>
      <c r="K43" s="198"/>
      <c r="L43" s="198"/>
      <c r="M43" s="198"/>
      <c r="N43" s="198"/>
      <c r="O43" s="198"/>
      <c r="P43" s="207">
        <f t="shared" si="5"/>
        <v>0</v>
      </c>
    </row>
    <row r="44" spans="2:25" x14ac:dyDescent="0.2">
      <c r="B44" s="220" t="s">
        <v>189</v>
      </c>
      <c r="C44" s="206"/>
      <c r="D44" s="198"/>
      <c r="E44" s="198"/>
      <c r="F44" s="198"/>
      <c r="G44" s="198"/>
      <c r="H44" s="198"/>
      <c r="I44" s="198"/>
      <c r="J44" s="198"/>
      <c r="K44" s="198"/>
      <c r="L44" s="198"/>
      <c r="M44" s="198"/>
      <c r="N44" s="198"/>
      <c r="O44" s="198"/>
      <c r="P44" s="207">
        <f t="shared" si="5"/>
        <v>0</v>
      </c>
    </row>
    <row r="45" spans="2:25" x14ac:dyDescent="0.2">
      <c r="B45" s="220" t="s">
        <v>189</v>
      </c>
      <c r="C45" s="206"/>
      <c r="D45" s="198"/>
      <c r="E45" s="198"/>
      <c r="F45" s="198"/>
      <c r="G45" s="198"/>
      <c r="H45" s="198"/>
      <c r="I45" s="198"/>
      <c r="J45" s="198"/>
      <c r="K45" s="198"/>
      <c r="L45" s="198"/>
      <c r="M45" s="198"/>
      <c r="N45" s="198"/>
      <c r="O45" s="198"/>
      <c r="P45" s="207">
        <f t="shared" si="5"/>
        <v>0</v>
      </c>
    </row>
    <row r="46" spans="2:25" x14ac:dyDescent="0.2">
      <c r="B46" s="220" t="s">
        <v>190</v>
      </c>
      <c r="C46" s="206"/>
      <c r="D46" s="198"/>
      <c r="E46" s="198"/>
      <c r="F46" s="198"/>
      <c r="G46" s="198"/>
      <c r="H46" s="198"/>
      <c r="I46" s="198"/>
      <c r="J46" s="198"/>
      <c r="K46" s="198"/>
      <c r="L46" s="198"/>
      <c r="M46" s="198"/>
      <c r="N46" s="198"/>
      <c r="O46" s="198"/>
      <c r="P46" s="207">
        <f t="shared" si="5"/>
        <v>0</v>
      </c>
    </row>
    <row r="47" spans="2:25" x14ac:dyDescent="0.2">
      <c r="B47" s="221" t="s">
        <v>191</v>
      </c>
      <c r="C47" s="222"/>
      <c r="D47" s="210">
        <f>SUBTOTAL(109,Dépenses[janv.-26])</f>
        <v>0</v>
      </c>
      <c r="E47" s="210">
        <f>SUBTOTAL(109,Dépenses[févr.-26])</f>
        <v>0</v>
      </c>
      <c r="F47" s="210">
        <f>SUBTOTAL(109,Dépenses[mars-26])</f>
        <v>0</v>
      </c>
      <c r="G47" s="210">
        <f>SUBTOTAL(109,Dépenses[avr.-26])</f>
        <v>0</v>
      </c>
      <c r="H47" s="210">
        <f>SUBTOTAL(109,Dépenses[mai-26])</f>
        <v>0</v>
      </c>
      <c r="I47" s="210">
        <f>SUBTOTAL(109,Dépenses[juin-26])</f>
        <v>0</v>
      </c>
      <c r="J47" s="210">
        <f>SUBTOTAL(109,Dépenses[juil.-26])</f>
        <v>0</v>
      </c>
      <c r="K47" s="210">
        <f>SUBTOTAL(109,Dépenses[août-26])</f>
        <v>0</v>
      </c>
      <c r="L47" s="210">
        <f>SUBTOTAL(109,Dépenses[sept.-26])</f>
        <v>0</v>
      </c>
      <c r="M47" s="210">
        <f>SUBTOTAL(109,Dépenses[oct.-26])</f>
        <v>0</v>
      </c>
      <c r="N47" s="210">
        <f>SUBTOTAL(109,Dépenses[nov.-26])</f>
        <v>0</v>
      </c>
      <c r="O47" s="210">
        <f>SUBTOTAL(109,Dépenses[déc.-26])</f>
        <v>0</v>
      </c>
      <c r="P47" s="211">
        <f>SUBTOTAL(109,Dépenses[Total])</f>
        <v>0</v>
      </c>
    </row>
    <row r="48" spans="2:25" x14ac:dyDescent="0.2">
      <c r="B48" s="223" t="s">
        <v>167</v>
      </c>
      <c r="C48" s="224" t="s">
        <v>158</v>
      </c>
      <c r="D48" s="190" t="s">
        <v>192</v>
      </c>
      <c r="E48" s="190" t="s">
        <v>193</v>
      </c>
      <c r="F48" s="190" t="s">
        <v>194</v>
      </c>
      <c r="G48" s="190" t="s">
        <v>195</v>
      </c>
      <c r="H48" s="190" t="s">
        <v>196</v>
      </c>
      <c r="I48" s="190" t="s">
        <v>197</v>
      </c>
      <c r="J48" s="190" t="s">
        <v>198</v>
      </c>
      <c r="K48" s="190" t="s">
        <v>199</v>
      </c>
      <c r="L48" s="190" t="s">
        <v>200</v>
      </c>
      <c r="M48" s="190" t="s">
        <v>201</v>
      </c>
      <c r="N48" s="190" t="s">
        <v>202</v>
      </c>
      <c r="O48" s="190" t="s">
        <v>203</v>
      </c>
      <c r="P48" s="225" t="s">
        <v>14</v>
      </c>
    </row>
    <row r="49" spans="2:16" x14ac:dyDescent="0.2">
      <c r="B49" s="226" t="s">
        <v>204</v>
      </c>
      <c r="C49" s="227"/>
      <c r="D49" s="228"/>
      <c r="E49" s="228"/>
      <c r="F49" s="228"/>
      <c r="G49" s="228"/>
      <c r="H49" s="228"/>
      <c r="I49" s="228"/>
      <c r="J49" s="228"/>
      <c r="K49" s="228"/>
      <c r="L49" s="228"/>
      <c r="M49" s="228"/>
      <c r="N49" s="228"/>
      <c r="O49" s="228"/>
      <c r="P49" s="229">
        <f t="shared" ref="P49:P54" si="6">SUM(D49:O49)</f>
        <v>0</v>
      </c>
    </row>
    <row r="50" spans="2:16" x14ac:dyDescent="0.2">
      <c r="B50" s="226" t="s">
        <v>205</v>
      </c>
      <c r="C50" s="227"/>
      <c r="D50" s="228"/>
      <c r="E50" s="228"/>
      <c r="F50" s="228"/>
      <c r="G50" s="228"/>
      <c r="H50" s="228"/>
      <c r="I50" s="228"/>
      <c r="J50" s="228"/>
      <c r="K50" s="228"/>
      <c r="L50" s="228"/>
      <c r="M50" s="228"/>
      <c r="N50" s="228"/>
      <c r="O50" s="228"/>
      <c r="P50" s="229">
        <f t="shared" si="6"/>
        <v>0</v>
      </c>
    </row>
    <row r="51" spans="2:16" x14ac:dyDescent="0.2">
      <c r="B51" s="226" t="s">
        <v>206</v>
      </c>
      <c r="C51" s="227"/>
      <c r="D51" s="228"/>
      <c r="E51" s="228"/>
      <c r="F51" s="228"/>
      <c r="G51" s="228"/>
      <c r="H51" s="228"/>
      <c r="I51" s="228"/>
      <c r="J51" s="228"/>
      <c r="K51" s="228"/>
      <c r="L51" s="228"/>
      <c r="M51" s="228"/>
      <c r="N51" s="228"/>
      <c r="O51" s="228"/>
      <c r="P51" s="229">
        <f t="shared" si="6"/>
        <v>0</v>
      </c>
    </row>
    <row r="52" spans="2:16" x14ac:dyDescent="0.2">
      <c r="B52" s="226" t="s">
        <v>207</v>
      </c>
      <c r="C52" s="227"/>
      <c r="D52" s="228"/>
      <c r="E52" s="228"/>
      <c r="F52" s="228"/>
      <c r="G52" s="228"/>
      <c r="H52" s="228"/>
      <c r="I52" s="228"/>
      <c r="J52" s="228"/>
      <c r="K52" s="228"/>
      <c r="L52" s="228"/>
      <c r="M52" s="228"/>
      <c r="N52" s="228"/>
      <c r="O52" s="228"/>
      <c r="P52" s="229">
        <f t="shared" si="6"/>
        <v>0</v>
      </c>
    </row>
    <row r="53" spans="2:16" x14ac:dyDescent="0.2">
      <c r="B53" s="226" t="s">
        <v>208</v>
      </c>
      <c r="C53" s="227"/>
      <c r="D53" s="228"/>
      <c r="E53" s="228"/>
      <c r="F53" s="228"/>
      <c r="G53" s="228"/>
      <c r="H53" s="228"/>
      <c r="I53" s="228"/>
      <c r="J53" s="228"/>
      <c r="K53" s="228"/>
      <c r="L53" s="228"/>
      <c r="M53" s="228"/>
      <c r="N53" s="228"/>
      <c r="O53" s="228"/>
      <c r="P53" s="229">
        <f t="shared" si="6"/>
        <v>0</v>
      </c>
    </row>
    <row r="54" spans="2:16" x14ac:dyDescent="0.2">
      <c r="B54" s="230" t="s">
        <v>209</v>
      </c>
      <c r="C54" s="231"/>
      <c r="D54" s="229">
        <f>Dépenses[[#Totals],[janv.-26]]+SUBTOTAL(109,Décaissements[janv.-18])</f>
        <v>0</v>
      </c>
      <c r="E54" s="229">
        <f>Dépenses[[#Totals],[févr.-26]]+SUBTOTAL(109,Décaissements[févr.-18])</f>
        <v>0</v>
      </c>
      <c r="F54" s="229">
        <f>Dépenses[[#Totals],[mars-26]]+SUBTOTAL(109,Décaissements[mars-18])</f>
        <v>0</v>
      </c>
      <c r="G54" s="232">
        <f>Dépenses[[#Totals],[avr.-26]]+SUBTOTAL(109,Décaissements[avr.-18])</f>
        <v>0</v>
      </c>
      <c r="H54" s="232">
        <f>Dépenses[[#Totals],[mai-26]]+SUBTOTAL(109,Décaissements[mai-18])</f>
        <v>0</v>
      </c>
      <c r="I54" s="232">
        <f>Dépenses[[#Totals],[juin-26]]+SUBTOTAL(109,Décaissements[juin-18])</f>
        <v>0</v>
      </c>
      <c r="J54" s="232">
        <f>Dépenses[[#Totals],[juil.-26]]+SUBTOTAL(109,Décaissements[juil.-18])</f>
        <v>0</v>
      </c>
      <c r="K54" s="232">
        <f>Dépenses[[#Totals],[août-26]]+SUBTOTAL(109,Décaissements[août-18])</f>
        <v>0</v>
      </c>
      <c r="L54" s="232">
        <f>Dépenses[[#Totals],[sept.-26]]+SUBTOTAL(109,Décaissements[sept.-18])</f>
        <v>0</v>
      </c>
      <c r="M54" s="232">
        <f>Dépenses[[#Totals],[oct.-26]]+SUBTOTAL(109,Décaissements[oct.-18])</f>
        <v>0</v>
      </c>
      <c r="N54" s="232">
        <f>Dépenses[[#Totals],[nov.-26]]+SUBTOTAL(109,Décaissements[nov.-18])</f>
        <v>0</v>
      </c>
      <c r="O54" s="232">
        <f>Dépenses[[#Totals],[déc.-26]]+SUBTOTAL(109,Décaissements[déc.-18])</f>
        <v>0</v>
      </c>
      <c r="P54" s="229">
        <f t="shared" si="6"/>
        <v>0</v>
      </c>
    </row>
    <row r="55" spans="2:16" x14ac:dyDescent="0.2">
      <c r="B55" s="233" t="s">
        <v>210</v>
      </c>
      <c r="C55" s="207">
        <f>C19</f>
        <v>0</v>
      </c>
      <c r="D55" s="207">
        <f>D19-Décaissements[[#Totals],[janv.-18]]</f>
        <v>0</v>
      </c>
      <c r="E55" s="207">
        <f>E19-Décaissements[[#Totals],[févr.-18]]</f>
        <v>0</v>
      </c>
      <c r="F55" s="207">
        <f>F19-Décaissements[[#Totals],[mars-18]]</f>
        <v>0</v>
      </c>
      <c r="G55" s="207">
        <f>G19-Décaissements[[#Totals],[avr.-18]]</f>
        <v>0</v>
      </c>
      <c r="H55" s="207">
        <f>H19-Décaissements[[#Totals],[mai-18]]</f>
        <v>0</v>
      </c>
      <c r="I55" s="207">
        <f>I19-Décaissements[[#Totals],[juin-18]]</f>
        <v>0</v>
      </c>
      <c r="J55" s="207">
        <f>J19-Décaissements[[#Totals],[juil.-18]]</f>
        <v>0</v>
      </c>
      <c r="K55" s="207">
        <f>K19-Décaissements[[#Totals],[août-18]]</f>
        <v>0</v>
      </c>
      <c r="L55" s="207">
        <f>L19-Décaissements[[#Totals],[sept.-18]]</f>
        <v>0</v>
      </c>
      <c r="M55" s="207">
        <f>M19-Décaissements[[#Totals],[oct.-18]]</f>
        <v>0</v>
      </c>
      <c r="N55" s="207">
        <f>N19-Décaissements[[#Totals],[nov.-18]]</f>
        <v>0</v>
      </c>
      <c r="O55" s="207">
        <f>O19-Décaissements[[#Totals],[déc.-18]]</f>
        <v>0</v>
      </c>
      <c r="P55" s="200"/>
    </row>
    <row r="56" spans="2:16" x14ac:dyDescent="0.2">
      <c r="B56" s="234"/>
      <c r="C56" s="235"/>
      <c r="D56" s="235"/>
      <c r="E56" s="235"/>
      <c r="F56" s="235"/>
      <c r="G56" s="235"/>
      <c r="H56" s="235"/>
      <c r="I56" s="235"/>
      <c r="J56" s="235"/>
      <c r="K56" s="235"/>
      <c r="L56" s="235"/>
      <c r="M56" s="235"/>
      <c r="N56" s="235"/>
      <c r="O56" s="235"/>
      <c r="P56" s="235"/>
    </row>
    <row r="57" spans="2:16" x14ac:dyDescent="0.2">
      <c r="B57" s="236" t="s">
        <v>211</v>
      </c>
      <c r="C57" s="237" t="s">
        <v>158</v>
      </c>
      <c r="D57" s="190" t="s">
        <v>192</v>
      </c>
      <c r="E57" s="190" t="s">
        <v>193</v>
      </c>
      <c r="F57" s="190" t="s">
        <v>194</v>
      </c>
      <c r="G57" s="190" t="s">
        <v>195</v>
      </c>
      <c r="H57" s="190" t="s">
        <v>196</v>
      </c>
      <c r="I57" s="190" t="s">
        <v>197</v>
      </c>
      <c r="J57" s="190" t="s">
        <v>198</v>
      </c>
      <c r="K57" s="190" t="s">
        <v>199</v>
      </c>
      <c r="L57" s="190" t="s">
        <v>200</v>
      </c>
      <c r="M57" s="190" t="s">
        <v>201</v>
      </c>
      <c r="N57" s="190" t="s">
        <v>202</v>
      </c>
      <c r="O57" s="190" t="s">
        <v>203</v>
      </c>
      <c r="P57" s="238" t="s">
        <v>14</v>
      </c>
    </row>
    <row r="58" spans="2:16" x14ac:dyDescent="0.2">
      <c r="B58" s="239" t="s">
        <v>212</v>
      </c>
      <c r="C58" s="240"/>
      <c r="D58" s="183"/>
      <c r="E58" s="183"/>
      <c r="F58" s="183"/>
      <c r="G58" s="183"/>
      <c r="H58" s="183"/>
      <c r="I58" s="183"/>
      <c r="J58" s="183"/>
      <c r="K58" s="183"/>
      <c r="L58" s="183"/>
      <c r="M58" s="183"/>
      <c r="N58" s="183"/>
      <c r="O58" s="183"/>
      <c r="P58" s="241">
        <f>SUM(AutresDonnéesOpérationnelles[[#This Row],[janv.-18]:[déc.-18]])</f>
        <v>0</v>
      </c>
    </row>
    <row r="59" spans="2:16" x14ac:dyDescent="0.2">
      <c r="B59" s="220" t="s">
        <v>213</v>
      </c>
      <c r="C59" s="198"/>
      <c r="D59" s="198"/>
      <c r="E59" s="198"/>
      <c r="F59" s="198"/>
      <c r="G59" s="198"/>
      <c r="H59" s="198"/>
      <c r="I59" s="198"/>
      <c r="J59" s="198"/>
      <c r="K59" s="198"/>
      <c r="L59" s="198"/>
      <c r="M59" s="198"/>
      <c r="N59" s="198"/>
      <c r="O59" s="198"/>
      <c r="P59" s="241">
        <f>SUM(AutresDonnéesOpérationnelles[[#This Row],[janv.-18]:[déc.-18]])</f>
        <v>0</v>
      </c>
    </row>
    <row r="60" spans="2:16" x14ac:dyDescent="0.2">
      <c r="B60" s="220" t="s">
        <v>214</v>
      </c>
      <c r="C60" s="198"/>
      <c r="D60" s="198"/>
      <c r="E60" s="198"/>
      <c r="F60" s="198"/>
      <c r="G60" s="198"/>
      <c r="H60" s="198"/>
      <c r="I60" s="198"/>
      <c r="J60" s="198"/>
      <c r="K60" s="198"/>
      <c r="L60" s="198"/>
      <c r="M60" s="198"/>
      <c r="N60" s="198"/>
      <c r="O60" s="198"/>
      <c r="P60" s="241">
        <f>SUM(AutresDonnéesOpérationnelles[[#This Row],[janv.-18]:[déc.-18]])</f>
        <v>0</v>
      </c>
    </row>
    <row r="61" spans="2:16" x14ac:dyDescent="0.2">
      <c r="B61" s="220" t="s">
        <v>215</v>
      </c>
      <c r="C61" s="198"/>
      <c r="D61" s="198"/>
      <c r="E61" s="198"/>
      <c r="F61" s="198"/>
      <c r="G61" s="198"/>
      <c r="H61" s="198"/>
      <c r="I61" s="198"/>
      <c r="J61" s="198"/>
      <c r="K61" s="198"/>
      <c r="L61" s="198"/>
      <c r="M61" s="198"/>
      <c r="N61" s="198"/>
      <c r="O61" s="198"/>
      <c r="P61" s="241">
        <f>SUM(AutresDonnéesOpérationnelles[[#This Row],[janv.-18]:[déc.-18]])</f>
        <v>0</v>
      </c>
    </row>
    <row r="62" spans="2:16" x14ac:dyDescent="0.2">
      <c r="B62" s="220" t="s">
        <v>216</v>
      </c>
      <c r="C62" s="198"/>
      <c r="D62" s="198"/>
      <c r="E62" s="198"/>
      <c r="F62" s="198"/>
      <c r="G62" s="198"/>
      <c r="H62" s="198"/>
      <c r="I62" s="198"/>
      <c r="J62" s="198"/>
      <c r="K62" s="198"/>
      <c r="L62" s="198"/>
      <c r="M62" s="198"/>
      <c r="N62" s="198"/>
      <c r="O62" s="198"/>
      <c r="P62" s="241">
        <f>SUM(AutresDonnéesOpérationnelles[[#This Row],[janv.-18]:[déc.-18]])</f>
        <v>0</v>
      </c>
    </row>
    <row r="63" spans="2:16" x14ac:dyDescent="0.2">
      <c r="B63" s="242" t="s">
        <v>217</v>
      </c>
      <c r="C63" s="243"/>
      <c r="D63" s="244"/>
      <c r="E63" s="244"/>
      <c r="F63" s="244"/>
      <c r="G63" s="244"/>
      <c r="H63" s="244"/>
      <c r="I63" s="244"/>
      <c r="J63" s="244"/>
      <c r="K63" s="244"/>
      <c r="L63" s="244"/>
      <c r="M63" s="244"/>
      <c r="N63" s="244"/>
      <c r="O63" s="244"/>
      <c r="P63" s="241">
        <f>SUM(AutresDonnéesOpérationnelles[[#This Row],[janv.-18]:[déc.-18]])</f>
        <v>0</v>
      </c>
    </row>
  </sheetData>
  <sheetProtection insertColumns="0" insertRows="0"/>
  <mergeCells count="2">
    <mergeCell ref="B1:P1"/>
    <mergeCell ref="B2:P2"/>
  </mergeCells>
  <conditionalFormatting sqref="C7:O9">
    <cfRule type="cellIs" dxfId="167" priority="1" stopIfTrue="1" operator="lessThanOrEqual">
      <formula>$C$4</formula>
    </cfRule>
  </conditionalFormatting>
  <dataValidations count="26">
    <dataValidation type="decimal" allowBlank="1" showInputMessage="1" showErrorMessage="1" sqref="D12:O17 D22:O46 D49:O53 D58:O63 C59:C62">
      <formula1>-10000000</formula1>
      <formula2>10000000</formula2>
    </dataValidation>
    <dataValidation allowBlank="1" showInputMessage="1" showErrorMessage="1" prompt="Le total est calculé automatiquement dans la colonne sous ce titre." sqref="P57"/>
    <dataValidation allowBlank="1" showInputMessage="1" showErrorMessage="1" prompt="Entrez ou modifiez les Autres données opérationnelles dans cette colonne sous ce titre" sqref="B57"/>
    <dataValidation allowBlank="1" showInputMessage="1" showErrorMessage="1" prompt="Le total est calculé automatiquement dans cette colonne sous ce titre. Total Décaissements et Total trésorerie à la fin du mois sont automatiquement calculés à la fin" sqref="P48"/>
    <dataValidation allowBlank="1" showInputMessage="1" showErrorMessage="1" prompt="Le total est calculé automatiquement dans cette colonne sous ce titre. Le sous-total est calculé automatiquement à la fin" sqref="P21"/>
    <dataValidation allowBlank="1" showInputMessage="1" showErrorMessage="1" prompt="Entrez ou modifiez les Décaissements dans cette colonne sous ce titre" sqref="B21 B48"/>
    <dataValidation allowBlank="1" showInputMessage="1" showErrorMessage="1" prompt="Entrez les détails des Dépenses dans le tableau ci-dessous et Décaissements dans le tableau à partir de la cellule B46" sqref="B20"/>
    <dataValidation allowBlank="1" showInputMessage="1" prompt="Total est calculé automatiquement dans cette colonne sous ce titre. Total Encaissements et Total trésorerie disponible sont automatiquement calculés à la fin" sqref="P11"/>
    <dataValidation allowBlank="1" showInputMessage="1" prompt="Entrez les valeurs pour ce mois dans cette colonne sous ce titre" sqref="D48:O48 D21:O21 D11:O11 D57:O57"/>
    <dataValidation allowBlank="1" showInputMessage="1" showErrorMessage="1" prompt="Entrez ou modifiez les Encaissements dans cette colonne sous ce titre" sqref="B11"/>
    <dataValidation allowBlank="1" showInputMessage="1" showErrorMessage="1" prompt="Entrez les détails des Encaissements dans le tableau ci-dessous" sqref="B10"/>
    <dataValidation allowBlank="1" showInputMessage="1" prompt="Les Liquidités sont calculées pour ce mois dans la cellule ci-dessous" sqref="D6:O6"/>
    <dataValidation operator="greaterThanOrEqual" allowBlank="1" showInputMessage="1" showErrorMessage="1" error="Entrez un nombre supérieur à zéro." prompt="Entrez Liquidités de début dans la cellule située ci-dessous" sqref="C6"/>
    <dataValidation allowBlank="1" showInputMessage="1" showErrorMessage="1" prompt="Entrez Liquidités de début de mois dans la cellule située à droite" sqref="B7:B9"/>
    <dataValidation allowBlank="1" showInputMessage="1" showErrorMessage="1" prompt="Entrez les détails dans le tableau en partant de la droite" sqref="B6"/>
    <dataValidation type="decimal" operator="lessThanOrEqual" allowBlank="1" showInputMessage="1" showErrorMessage="1" error="Entrez un nombre supérieur à zéro." prompt="Entrez Minimum alerte solde trésorerie dans cette cellule et les détails de Liquidités dans le tableau en commençant dans la cellule C6. L’étiquette Liquidités début de mois est dans la cellule B7" sqref="C4">
      <formula1>10000000</formula1>
    </dataValidation>
    <dataValidation allowBlank="1" showInputMessage="1" showErrorMessage="1" prompt="Entrez le Minimum alerte solde trésorerie dans la cellule située à droite" sqref="B4"/>
    <dataValidation allowBlank="1" showInputMessage="1" showErrorMessage="1" prompt="Entrez la Date de début dans la cellule à droite" sqref="B3"/>
    <dataValidation allowBlank="1" showInputMessage="1" showErrorMessage="1" prompt="Entrez le Nom de société dans cette cellule, Date de début dans la cellule C3 et Minimum alerte solde trésorerie dans la cellule C4" sqref="B2:P2"/>
    <dataValidation allowBlank="1" showInputMessage="1" showErrorMessage="1" prompt="Le titre de cette feuille de calcul figure dans cette cellule. Entrez le Nom de la société dans la cellule ci-dessous" sqref="B1:P1"/>
    <dataValidation allowBlank="1" showInputMessage="1" showErrorMessage="1" prompt="Créez une Projection de flux de trésorerie Small Business dans cette feuille de calcul. Entrez des informations dans des tableaux nommés Liquidités, Encaissements, Dépenses, Décaissements et Autres données opérationnelles " sqref="A1"/>
    <dataValidation type="decimal" errorStyle="warning" operator="lessThanOrEqual" allowBlank="1" showInputMessage="1" showErrorMessage="1" error="Entrez un nombre supérieur à zéro" sqref="P12:P17 P22:P46 P49:P53 P58:P63">
      <formula1>10000000</formula1>
    </dataValidation>
    <dataValidation type="decimal" operator="lessThanOrEqual" allowBlank="1" showInputMessage="1" sqref="D7:O9">
      <formula1>10000000</formula1>
    </dataValidation>
    <dataValidation type="date" allowBlank="1" showInputMessage="1" showErrorMessage="1" error="Entrez une date valide." prompt="Entrez la Date de début dans cette cellule" sqref="C3">
      <formula1>1</formula1>
      <formula2>73415</formula2>
    </dataValidation>
    <dataValidation type="decimal" operator="lessThanOrEqual" allowBlank="1" showInputMessage="1" showErrorMessage="1" sqref="C19:O19 C55:O55">
      <formula1>10000000</formula1>
    </dataValidation>
    <dataValidation type="decimal" allowBlank="1" showInputMessage="1" sqref="C7:C9 D4:P4">
      <formula1>-10000000</formula1>
      <formula2>10000000</formula2>
    </dataValidation>
  </dataValidations>
  <printOptions horizontalCentered="1"/>
  <pageMargins left="0" right="0" top="0.5" bottom="0.25" header="0" footer="0"/>
  <pageSetup paperSize="9" scale="75" orientation="landscape" r:id="rId1"/>
  <headerFooter alignWithMargins="0"/>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7"/>
  <sheetViews>
    <sheetView showGridLines="0" workbookViewId="0">
      <pane ySplit="17" topLeftCell="A18" activePane="bottomLeft" state="frozenSplit"/>
      <selection pane="bottomLeft" activeCell="D6" sqref="D6"/>
    </sheetView>
  </sheetViews>
  <sheetFormatPr baseColWidth="10" defaultColWidth="9.109375" defaultRowHeight="13.8" x14ac:dyDescent="0.3"/>
  <cols>
    <col min="1" max="1" width="6.33203125" style="172" customWidth="1"/>
    <col min="2" max="2" width="15.6640625" style="173" customWidth="1"/>
    <col min="3" max="3" width="21.6640625" style="173" customWidth="1"/>
    <col min="4" max="8" width="14.6640625" style="173" customWidth="1"/>
    <col min="9" max="10" width="21.6640625" style="173" customWidth="1"/>
    <col min="11" max="16384" width="9.109375" style="141"/>
  </cols>
  <sheetData>
    <row r="1" spans="1:10" ht="24" customHeight="1" x14ac:dyDescent="0.45">
      <c r="A1" s="138" t="s">
        <v>114</v>
      </c>
      <c r="B1" s="139"/>
      <c r="C1" s="139"/>
      <c r="D1" s="139"/>
      <c r="E1" s="140"/>
      <c r="F1" s="140"/>
      <c r="G1" s="140"/>
      <c r="H1" s="140"/>
      <c r="I1" s="140"/>
      <c r="J1" s="140"/>
    </row>
    <row r="2" spans="1:10" ht="3" customHeight="1" x14ac:dyDescent="0.3">
      <c r="A2" s="142"/>
      <c r="B2" s="143"/>
      <c r="C2" s="143"/>
      <c r="D2" s="143"/>
      <c r="E2" s="143"/>
      <c r="F2" s="143"/>
      <c r="G2" s="143"/>
      <c r="H2" s="143"/>
      <c r="I2" s="143"/>
      <c r="J2" s="143"/>
    </row>
    <row r="3" spans="1:10" ht="20.25" customHeight="1" x14ac:dyDescent="0.3">
      <c r="A3" s="140"/>
      <c r="B3" s="144"/>
      <c r="C3" s="144"/>
      <c r="D3" s="144"/>
      <c r="E3" s="144"/>
      <c r="F3" s="144"/>
      <c r="G3" s="144"/>
      <c r="H3" s="144"/>
      <c r="I3" s="144"/>
      <c r="J3" s="144"/>
    </row>
    <row r="4" spans="1:10" ht="14.25" customHeight="1" x14ac:dyDescent="0.3">
      <c r="A4" s="140"/>
      <c r="B4" s="246" t="s">
        <v>115</v>
      </c>
      <c r="C4" s="247"/>
      <c r="D4" s="248"/>
      <c r="E4" s="140"/>
      <c r="F4" s="141"/>
      <c r="G4" s="141"/>
      <c r="H4" s="246" t="s">
        <v>116</v>
      </c>
      <c r="I4" s="247"/>
      <c r="J4" s="248"/>
    </row>
    <row r="5" spans="1:10" x14ac:dyDescent="0.3">
      <c r="A5" s="140"/>
      <c r="B5" s="145"/>
      <c r="C5" s="146" t="s">
        <v>117</v>
      </c>
      <c r="D5" s="147">
        <v>250000</v>
      </c>
      <c r="E5" s="140"/>
      <c r="F5" s="141"/>
      <c r="G5" s="141"/>
      <c r="H5" s="145"/>
      <c r="I5" s="146" t="s">
        <v>118</v>
      </c>
      <c r="J5" s="148">
        <f>IF(Valeurs_Entrées,-PMT(Taux_Intérêt/Nbre_Pmt_Par_An,Durée_Prêt*Nbre_Pmt_Par_An,Montant_Prêt),"")</f>
        <v>2460.4526655071218</v>
      </c>
    </row>
    <row r="6" spans="1:10" x14ac:dyDescent="0.3">
      <c r="A6" s="140"/>
      <c r="B6" s="145"/>
      <c r="C6" s="146" t="s">
        <v>119</v>
      </c>
      <c r="D6" s="149">
        <v>3.4000000000000002E-2</v>
      </c>
      <c r="E6" s="140"/>
      <c r="F6" s="141"/>
      <c r="G6" s="141"/>
      <c r="H6" s="145"/>
      <c r="I6" s="146" t="s">
        <v>120</v>
      </c>
      <c r="J6" s="150">
        <f>IF(Valeurs_Entrées,Durée_Prêt*Nbre_Pmt_Par_An,"")</f>
        <v>120</v>
      </c>
    </row>
    <row r="7" spans="1:10" x14ac:dyDescent="0.3">
      <c r="A7" s="140"/>
      <c r="B7" s="145"/>
      <c r="C7" s="146" t="s">
        <v>121</v>
      </c>
      <c r="D7" s="151">
        <v>10</v>
      </c>
      <c r="E7" s="140"/>
      <c r="F7" s="141"/>
      <c r="G7" s="141"/>
      <c r="H7" s="145"/>
      <c r="I7" s="146" t="s">
        <v>122</v>
      </c>
      <c r="J7" s="150">
        <f>IF(Valeurs_Entrées,Nbre_de_Paiements,"")</f>
        <v>120</v>
      </c>
    </row>
    <row r="8" spans="1:10" x14ac:dyDescent="0.3">
      <c r="A8" s="140"/>
      <c r="B8" s="145"/>
      <c r="C8" s="146" t="s">
        <v>123</v>
      </c>
      <c r="D8" s="151">
        <v>12</v>
      </c>
      <c r="E8" s="140"/>
      <c r="F8" s="141"/>
      <c r="G8" s="141"/>
      <c r="H8" s="145"/>
      <c r="I8" s="146" t="s">
        <v>124</v>
      </c>
      <c r="J8" s="148">
        <f>IF(Valeurs_Entrées,SUMIF(Solde_Départ,"&gt;0",Pmt_Supplémentaire),"")</f>
        <v>0</v>
      </c>
    </row>
    <row r="9" spans="1:10" x14ac:dyDescent="0.3">
      <c r="A9" s="140"/>
      <c r="B9" s="145"/>
      <c r="C9" s="146" t="s">
        <v>125</v>
      </c>
      <c r="D9" s="152">
        <v>46023</v>
      </c>
      <c r="E9" s="140"/>
      <c r="F9" s="141"/>
      <c r="G9" s="141"/>
      <c r="H9" s="153"/>
      <c r="I9" s="154" t="s">
        <v>126</v>
      </c>
      <c r="J9" s="148">
        <f>IF(Valeurs_Entrées,SUMIF(Solde_Départ,"&gt;0",Ent),"")</f>
        <v>45254.319860854652</v>
      </c>
    </row>
    <row r="10" spans="1:10" x14ac:dyDescent="0.3">
      <c r="A10" s="140"/>
      <c r="B10" s="153"/>
      <c r="C10" s="154" t="s">
        <v>127</v>
      </c>
      <c r="D10" s="147"/>
      <c r="E10" s="140"/>
      <c r="F10" s="144"/>
      <c r="G10" s="144"/>
      <c r="H10" s="144"/>
      <c r="I10" s="144"/>
      <c r="J10" s="155"/>
    </row>
    <row r="11" spans="1:10" x14ac:dyDescent="0.3">
      <c r="A11" s="140"/>
      <c r="B11" s="144"/>
      <c r="C11" s="144"/>
      <c r="D11" s="144"/>
      <c r="E11" s="144"/>
      <c r="F11" s="144"/>
      <c r="G11" s="144"/>
      <c r="H11" s="144"/>
      <c r="I11" s="144"/>
      <c r="J11" s="144"/>
    </row>
    <row r="12" spans="1:10" x14ac:dyDescent="0.3">
      <c r="A12" s="140"/>
      <c r="B12" s="156" t="s">
        <v>128</v>
      </c>
      <c r="C12" s="249"/>
      <c r="D12" s="250"/>
      <c r="E12" s="157"/>
      <c r="F12" s="144"/>
      <c r="G12" s="144"/>
      <c r="H12" s="144"/>
      <c r="I12" s="144"/>
      <c r="J12" s="144"/>
    </row>
    <row r="13" spans="1:10" x14ac:dyDescent="0.3">
      <c r="A13" s="140"/>
      <c r="B13" s="156"/>
      <c r="C13" s="158"/>
      <c r="D13" s="158"/>
      <c r="E13" s="144"/>
      <c r="F13" s="144"/>
      <c r="G13" s="144"/>
      <c r="H13" s="144"/>
      <c r="I13" s="144"/>
      <c r="J13" s="144"/>
    </row>
    <row r="14" spans="1:10" ht="6" customHeight="1" x14ac:dyDescent="0.3">
      <c r="A14" s="142"/>
      <c r="B14" s="143"/>
      <c r="C14" s="143"/>
      <c r="D14" s="143"/>
      <c r="E14" s="143"/>
      <c r="F14" s="143"/>
      <c r="G14" s="143"/>
      <c r="H14" s="143"/>
      <c r="I14" s="143"/>
      <c r="J14" s="143"/>
    </row>
    <row r="15" spans="1:10" ht="3.75" customHeight="1" x14ac:dyDescent="0.3">
      <c r="A15" s="159"/>
      <c r="B15" s="160"/>
      <c r="C15" s="160"/>
      <c r="D15" s="160"/>
      <c r="E15" s="160"/>
      <c r="F15" s="160"/>
      <c r="G15" s="160"/>
      <c r="H15" s="160"/>
      <c r="I15" s="160"/>
      <c r="J15" s="160"/>
    </row>
    <row r="16" spans="1:10" s="164" customFormat="1" ht="27.6" x14ac:dyDescent="0.3">
      <c r="A16" s="161" t="s">
        <v>129</v>
      </c>
      <c r="B16" s="162" t="s">
        <v>130</v>
      </c>
      <c r="C16" s="162" t="s">
        <v>131</v>
      </c>
      <c r="D16" s="162" t="s">
        <v>118</v>
      </c>
      <c r="E16" s="162" t="s">
        <v>132</v>
      </c>
      <c r="F16" s="162" t="s">
        <v>133</v>
      </c>
      <c r="G16" s="162" t="s">
        <v>134</v>
      </c>
      <c r="H16" s="162" t="s">
        <v>135</v>
      </c>
      <c r="I16" s="162" t="s">
        <v>136</v>
      </c>
      <c r="J16" s="163" t="s">
        <v>137</v>
      </c>
    </row>
    <row r="17" spans="1:10" s="164" customFormat="1" ht="6" customHeight="1" x14ac:dyDescent="0.3">
      <c r="A17" s="165"/>
      <c r="B17" s="166"/>
      <c r="C17" s="166"/>
      <c r="D17" s="166"/>
      <c r="E17" s="166"/>
      <c r="F17" s="166"/>
      <c r="G17" s="166"/>
      <c r="H17" s="166"/>
      <c r="I17" s="166"/>
      <c r="J17" s="167"/>
    </row>
    <row r="18" spans="1:10" s="164" customFormat="1" x14ac:dyDescent="0.3">
      <c r="A18" s="168">
        <f>IF(Valeurs_Entrées,1,"")</f>
        <v>1</v>
      </c>
      <c r="B18" s="169">
        <f t="shared" ref="B18:B81" si="0">IF(Nbre_Pmt&lt;&gt;"",DATE(YEAR(Début_Prêt),MONTH(Début_Prêt)+(Nbre_Pmt)*12/Nbre_Pmt_Par_An,DAY(Début_Prêt)),"")</f>
        <v>46054</v>
      </c>
      <c r="C18" s="170">
        <f>IF(Valeurs_Entrées,Montant_Prêt,"")</f>
        <v>250000</v>
      </c>
      <c r="D18" s="170">
        <f>IF(Nbre_Pmt&lt;&gt;"",Pmt_Mensuel_Programmé,"")</f>
        <v>2460.4526655071218</v>
      </c>
      <c r="E18" s="171">
        <f t="shared" ref="E18:E81" si="1">IF(AND(Nbre_Pmt&lt;&gt;"",Pmt_Programmé+Pmts_Supplémentaires_Programmés&lt;Solde_Départ),Pmts_Supplémentaires_Programmés,IF(AND(Nbre_Pmt&lt;&gt;"",Solde_Départ-Pmt_Programmé&gt;0),Solde_Départ-Pmt_Programmé,IF(Nbre_Pmt&lt;&gt;"",0,"")))</f>
        <v>0</v>
      </c>
      <c r="F18" s="170">
        <f t="shared" ref="F18:F81" si="2">IF(AND(Nbre_Pmt&lt;&gt;"",Pmt_Programmé+Pmt_Supplémentaire&lt;Solde_Départ),Pmt_Programmé+Pmt_Supplémentaire,IF(Nbre_Pmt&lt;&gt;"",Solde_Départ,""))</f>
        <v>2460.4526655071218</v>
      </c>
      <c r="G18" s="170">
        <f>IF(Nbre_Pmt&lt;&gt;"",Pmt_Total-Ent,"")</f>
        <v>1752.1193321737883</v>
      </c>
      <c r="H18" s="170">
        <f>IF(Nbre_Pmt&lt;&gt;"",Solde_Départ*(Taux_Intérêt/Nbre_Pmt_Par_An),"")</f>
        <v>708.33333333333337</v>
      </c>
      <c r="I18" s="170">
        <f t="shared" ref="I18:I81" si="3">IF(AND(Nbre_Pmt&lt;&gt;"",Pmt_Programmé+Pmt_Supplémentaire&lt;Solde_Départ),Solde_Départ-Princ,IF(Nbre_Pmt&lt;&gt;"",0,""))</f>
        <v>248247.88066782622</v>
      </c>
      <c r="J18" s="170">
        <f>SUM($H$18:$H18)</f>
        <v>708.33333333333337</v>
      </c>
    </row>
    <row r="19" spans="1:10" s="164" customFormat="1" ht="12.75" customHeight="1" x14ac:dyDescent="0.3">
      <c r="A19" s="168">
        <f t="shared" ref="A19:A82" si="4">IF(Valeurs_Entrées,A18+1,"")</f>
        <v>2</v>
      </c>
      <c r="B19" s="169">
        <f t="shared" si="0"/>
        <v>46082</v>
      </c>
      <c r="C19" s="170">
        <f t="shared" ref="C19:C82" si="5">IF(Nbre_Pmt&lt;&gt;"",I18,"")</f>
        <v>248247.88066782622</v>
      </c>
      <c r="D19" s="170">
        <f>IF(Nbre_Pmt&lt;&gt;"",Pmt_Mensuel_Programmé,"")</f>
        <v>2460.4526655071218</v>
      </c>
      <c r="E19" s="171">
        <f t="shared" si="1"/>
        <v>0</v>
      </c>
      <c r="F19" s="170">
        <f t="shared" si="2"/>
        <v>2460.4526655071218</v>
      </c>
      <c r="G19" s="170">
        <f t="shared" ref="G19:G82" si="6">IF(Nbre_Pmt&lt;&gt;"",Pmt_Total-Ent,"")</f>
        <v>1757.0836702816141</v>
      </c>
      <c r="H19" s="170">
        <f t="shared" ref="H19:H82" si="7">IF(Nbre_Pmt&lt;&gt;"",Solde_Départ*Taux_Intérêt/Nbre_Pmt_Par_An,"")</f>
        <v>703.36899522550766</v>
      </c>
      <c r="I19" s="170">
        <f t="shared" si="3"/>
        <v>246490.79699754462</v>
      </c>
      <c r="J19" s="170">
        <f>SUM($H$18:$H19)</f>
        <v>1411.7023285588411</v>
      </c>
    </row>
    <row r="20" spans="1:10" s="164" customFormat="1" ht="12.75" customHeight="1" x14ac:dyDescent="0.3">
      <c r="A20" s="168">
        <f t="shared" si="4"/>
        <v>3</v>
      </c>
      <c r="B20" s="169">
        <f t="shared" si="0"/>
        <v>46113</v>
      </c>
      <c r="C20" s="170">
        <f t="shared" si="5"/>
        <v>246490.79699754462</v>
      </c>
      <c r="D20" s="170">
        <f t="shared" ref="D20:D83" si="8">IF(Nbre_Pmt&lt;&gt;"",Pmt_Mensuel_Programmé,"")</f>
        <v>2460.4526655071218</v>
      </c>
      <c r="E20" s="171">
        <f t="shared" si="1"/>
        <v>0</v>
      </c>
      <c r="F20" s="170">
        <f t="shared" si="2"/>
        <v>2460.4526655071218</v>
      </c>
      <c r="G20" s="170">
        <f t="shared" si="6"/>
        <v>1762.0620740140785</v>
      </c>
      <c r="H20" s="170">
        <f t="shared" si="7"/>
        <v>698.39059149304319</v>
      </c>
      <c r="I20" s="170">
        <f t="shared" si="3"/>
        <v>244728.73492353054</v>
      </c>
      <c r="J20" s="170">
        <f>SUM($H$18:$H20)</f>
        <v>2110.0929200518844</v>
      </c>
    </row>
    <row r="21" spans="1:10" s="164" customFormat="1" x14ac:dyDescent="0.3">
      <c r="A21" s="168">
        <f t="shared" si="4"/>
        <v>4</v>
      </c>
      <c r="B21" s="169">
        <f t="shared" si="0"/>
        <v>46143</v>
      </c>
      <c r="C21" s="170">
        <f t="shared" si="5"/>
        <v>244728.73492353054</v>
      </c>
      <c r="D21" s="170">
        <f>IF(Nbre_Pmt&lt;&gt;"",Pmt_Mensuel_Programmé,"")</f>
        <v>2460.4526655071218</v>
      </c>
      <c r="E21" s="171">
        <f t="shared" si="1"/>
        <v>0</v>
      </c>
      <c r="F21" s="170">
        <f t="shared" si="2"/>
        <v>2460.4526655071218</v>
      </c>
      <c r="G21" s="170">
        <f t="shared" si="6"/>
        <v>1767.0545832237854</v>
      </c>
      <c r="H21" s="170">
        <f t="shared" si="7"/>
        <v>693.39808228333652</v>
      </c>
      <c r="I21" s="170">
        <f t="shared" si="3"/>
        <v>242961.68034030675</v>
      </c>
      <c r="J21" s="170">
        <f>SUM($H$18:$H21)</f>
        <v>2803.4910023352209</v>
      </c>
    </row>
    <row r="22" spans="1:10" s="164" customFormat="1" x14ac:dyDescent="0.3">
      <c r="A22" s="168">
        <f t="shared" si="4"/>
        <v>5</v>
      </c>
      <c r="B22" s="169">
        <f t="shared" si="0"/>
        <v>46174</v>
      </c>
      <c r="C22" s="170">
        <f t="shared" si="5"/>
        <v>242961.68034030675</v>
      </c>
      <c r="D22" s="170">
        <f t="shared" si="8"/>
        <v>2460.4526655071218</v>
      </c>
      <c r="E22" s="171">
        <f t="shared" si="1"/>
        <v>0</v>
      </c>
      <c r="F22" s="170">
        <f t="shared" si="2"/>
        <v>2460.4526655071218</v>
      </c>
      <c r="G22" s="170">
        <f t="shared" si="6"/>
        <v>1772.0612378762526</v>
      </c>
      <c r="H22" s="170">
        <f t="shared" si="7"/>
        <v>688.3914276308692</v>
      </c>
      <c r="I22" s="170">
        <f t="shared" si="3"/>
        <v>241189.6191024305</v>
      </c>
      <c r="J22" s="170">
        <f>SUM($H$18:$H22)</f>
        <v>3491.8824299660901</v>
      </c>
    </row>
    <row r="23" spans="1:10" x14ac:dyDescent="0.3">
      <c r="A23" s="168">
        <f t="shared" si="4"/>
        <v>6</v>
      </c>
      <c r="B23" s="169">
        <f t="shared" si="0"/>
        <v>46204</v>
      </c>
      <c r="C23" s="170">
        <f t="shared" si="5"/>
        <v>241189.6191024305</v>
      </c>
      <c r="D23" s="170">
        <f t="shared" si="8"/>
        <v>2460.4526655071218</v>
      </c>
      <c r="E23" s="171">
        <f t="shared" si="1"/>
        <v>0</v>
      </c>
      <c r="F23" s="170">
        <f t="shared" si="2"/>
        <v>2460.4526655071218</v>
      </c>
      <c r="G23" s="170">
        <f t="shared" si="6"/>
        <v>1777.0820780502354</v>
      </c>
      <c r="H23" s="170">
        <f t="shared" si="7"/>
        <v>683.37058745688648</v>
      </c>
      <c r="I23" s="170">
        <f t="shared" si="3"/>
        <v>239412.53702438026</v>
      </c>
      <c r="J23" s="170">
        <f>SUM($H$18:$H23)</f>
        <v>4175.2530174229769</v>
      </c>
    </row>
    <row r="24" spans="1:10" x14ac:dyDescent="0.3">
      <c r="A24" s="168">
        <f t="shared" si="4"/>
        <v>7</v>
      </c>
      <c r="B24" s="169">
        <f t="shared" si="0"/>
        <v>46235</v>
      </c>
      <c r="C24" s="170">
        <f t="shared" si="5"/>
        <v>239412.53702438026</v>
      </c>
      <c r="D24" s="170">
        <f t="shared" si="8"/>
        <v>2460.4526655071218</v>
      </c>
      <c r="E24" s="171">
        <f t="shared" si="1"/>
        <v>0</v>
      </c>
      <c r="F24" s="170">
        <f t="shared" si="2"/>
        <v>2460.4526655071218</v>
      </c>
      <c r="G24" s="170">
        <f t="shared" si="6"/>
        <v>1782.1171439380441</v>
      </c>
      <c r="H24" s="170">
        <f t="shared" si="7"/>
        <v>678.33552156907751</v>
      </c>
      <c r="I24" s="170">
        <f t="shared" si="3"/>
        <v>237630.4198804422</v>
      </c>
      <c r="J24" s="170">
        <f>SUM($H$18:$H24)</f>
        <v>4853.5885389920541</v>
      </c>
    </row>
    <row r="25" spans="1:10" x14ac:dyDescent="0.3">
      <c r="A25" s="168">
        <f t="shared" si="4"/>
        <v>8</v>
      </c>
      <c r="B25" s="169">
        <f t="shared" si="0"/>
        <v>46266</v>
      </c>
      <c r="C25" s="170">
        <f t="shared" si="5"/>
        <v>237630.4198804422</v>
      </c>
      <c r="D25" s="170">
        <f t="shared" si="8"/>
        <v>2460.4526655071218</v>
      </c>
      <c r="E25" s="171">
        <f t="shared" si="1"/>
        <v>0</v>
      </c>
      <c r="F25" s="170">
        <f t="shared" si="2"/>
        <v>2460.4526655071218</v>
      </c>
      <c r="G25" s="170">
        <f t="shared" si="6"/>
        <v>1787.1664758458687</v>
      </c>
      <c r="H25" s="170">
        <f t="shared" si="7"/>
        <v>673.28618966125293</v>
      </c>
      <c r="I25" s="170">
        <f t="shared" si="3"/>
        <v>235843.25340459633</v>
      </c>
      <c r="J25" s="170">
        <f>SUM($H$18:$H25)</f>
        <v>5526.8747286533071</v>
      </c>
    </row>
    <row r="26" spans="1:10" x14ac:dyDescent="0.3">
      <c r="A26" s="168">
        <f t="shared" si="4"/>
        <v>9</v>
      </c>
      <c r="B26" s="169">
        <f t="shared" si="0"/>
        <v>46296</v>
      </c>
      <c r="C26" s="170">
        <f t="shared" si="5"/>
        <v>235843.25340459633</v>
      </c>
      <c r="D26" s="170">
        <f t="shared" si="8"/>
        <v>2460.4526655071218</v>
      </c>
      <c r="E26" s="171">
        <f t="shared" si="1"/>
        <v>0</v>
      </c>
      <c r="F26" s="170">
        <f t="shared" si="2"/>
        <v>2460.4526655071218</v>
      </c>
      <c r="G26" s="170">
        <f t="shared" si="6"/>
        <v>1792.2301141940989</v>
      </c>
      <c r="H26" s="170">
        <f t="shared" si="7"/>
        <v>668.22255131302302</v>
      </c>
      <c r="I26" s="170">
        <f t="shared" si="3"/>
        <v>234051.02329040223</v>
      </c>
      <c r="J26" s="170">
        <f>SUM($H$18:$H26)</f>
        <v>6195.0972799663305</v>
      </c>
    </row>
    <row r="27" spans="1:10" x14ac:dyDescent="0.3">
      <c r="A27" s="168">
        <f t="shared" si="4"/>
        <v>10</v>
      </c>
      <c r="B27" s="169">
        <f t="shared" si="0"/>
        <v>46327</v>
      </c>
      <c r="C27" s="170">
        <f t="shared" si="5"/>
        <v>234051.02329040223</v>
      </c>
      <c r="D27" s="170">
        <f t="shared" si="8"/>
        <v>2460.4526655071218</v>
      </c>
      <c r="E27" s="171">
        <f t="shared" si="1"/>
        <v>0</v>
      </c>
      <c r="F27" s="170">
        <f t="shared" si="2"/>
        <v>2460.4526655071218</v>
      </c>
      <c r="G27" s="170">
        <f t="shared" si="6"/>
        <v>1797.3080995176488</v>
      </c>
      <c r="H27" s="170">
        <f t="shared" si="7"/>
        <v>663.14456598947299</v>
      </c>
      <c r="I27" s="170">
        <f t="shared" si="3"/>
        <v>232253.71519088457</v>
      </c>
      <c r="J27" s="170">
        <f>SUM($H$18:$H27)</f>
        <v>6858.241845955803</v>
      </c>
    </row>
    <row r="28" spans="1:10" x14ac:dyDescent="0.3">
      <c r="A28" s="168">
        <f t="shared" si="4"/>
        <v>11</v>
      </c>
      <c r="B28" s="169">
        <f t="shared" si="0"/>
        <v>46357</v>
      </c>
      <c r="C28" s="170">
        <f t="shared" si="5"/>
        <v>232253.71519088457</v>
      </c>
      <c r="D28" s="170">
        <f t="shared" si="8"/>
        <v>2460.4526655071218</v>
      </c>
      <c r="E28" s="171">
        <f t="shared" si="1"/>
        <v>0</v>
      </c>
      <c r="F28" s="170">
        <f t="shared" si="2"/>
        <v>2460.4526655071218</v>
      </c>
      <c r="G28" s="170">
        <f t="shared" si="6"/>
        <v>1802.4004724662823</v>
      </c>
      <c r="H28" s="170">
        <f t="shared" si="7"/>
        <v>658.0521930408396</v>
      </c>
      <c r="I28" s="170">
        <f t="shared" si="3"/>
        <v>230451.31471841829</v>
      </c>
      <c r="J28" s="170">
        <f>SUM($H$18:$H28)</f>
        <v>7516.2940389966425</v>
      </c>
    </row>
    <row r="29" spans="1:10" x14ac:dyDescent="0.3">
      <c r="A29" s="168">
        <f t="shared" si="4"/>
        <v>12</v>
      </c>
      <c r="B29" s="169">
        <f t="shared" si="0"/>
        <v>46388</v>
      </c>
      <c r="C29" s="170">
        <f t="shared" si="5"/>
        <v>230451.31471841829</v>
      </c>
      <c r="D29" s="170">
        <f t="shared" si="8"/>
        <v>2460.4526655071218</v>
      </c>
      <c r="E29" s="171">
        <f t="shared" si="1"/>
        <v>0</v>
      </c>
      <c r="F29" s="170">
        <f t="shared" si="2"/>
        <v>2460.4526655071218</v>
      </c>
      <c r="G29" s="170">
        <f t="shared" si="6"/>
        <v>1807.5072738049366</v>
      </c>
      <c r="H29" s="170">
        <f t="shared" si="7"/>
        <v>652.94539170218525</v>
      </c>
      <c r="I29" s="170">
        <f t="shared" si="3"/>
        <v>228643.80744461334</v>
      </c>
      <c r="J29" s="170">
        <f>SUM($H$18:$H29)</f>
        <v>8169.2394306988281</v>
      </c>
    </row>
    <row r="30" spans="1:10" x14ac:dyDescent="0.3">
      <c r="A30" s="168">
        <f t="shared" si="4"/>
        <v>13</v>
      </c>
      <c r="B30" s="169">
        <f t="shared" si="0"/>
        <v>46419</v>
      </c>
      <c r="C30" s="170">
        <f t="shared" si="5"/>
        <v>228643.80744461334</v>
      </c>
      <c r="D30" s="170">
        <f t="shared" si="8"/>
        <v>2460.4526655071218</v>
      </c>
      <c r="E30" s="171">
        <f t="shared" si="1"/>
        <v>0</v>
      </c>
      <c r="F30" s="170">
        <f t="shared" si="2"/>
        <v>2460.4526655071218</v>
      </c>
      <c r="G30" s="170">
        <f t="shared" si="6"/>
        <v>1812.6285444140506</v>
      </c>
      <c r="H30" s="170">
        <f t="shared" si="7"/>
        <v>647.8241210930712</v>
      </c>
      <c r="I30" s="170">
        <f t="shared" si="3"/>
        <v>226831.1789001993</v>
      </c>
      <c r="J30" s="170">
        <f>SUM($H$18:$H30)</f>
        <v>8817.0635517919</v>
      </c>
    </row>
    <row r="31" spans="1:10" x14ac:dyDescent="0.3">
      <c r="A31" s="168">
        <f t="shared" si="4"/>
        <v>14</v>
      </c>
      <c r="B31" s="169">
        <f t="shared" si="0"/>
        <v>46447</v>
      </c>
      <c r="C31" s="170">
        <f t="shared" si="5"/>
        <v>226831.1789001993</v>
      </c>
      <c r="D31" s="170">
        <f t="shared" si="8"/>
        <v>2460.4526655071218</v>
      </c>
      <c r="E31" s="171">
        <f t="shared" si="1"/>
        <v>0</v>
      </c>
      <c r="F31" s="170">
        <f t="shared" si="2"/>
        <v>2460.4526655071218</v>
      </c>
      <c r="G31" s="170">
        <f t="shared" si="6"/>
        <v>1817.7643252898904</v>
      </c>
      <c r="H31" s="170">
        <f t="shared" si="7"/>
        <v>642.68834021723137</v>
      </c>
      <c r="I31" s="170">
        <f t="shared" si="3"/>
        <v>225013.4145749094</v>
      </c>
      <c r="J31" s="170">
        <f>SUM($H$18:$H31)</f>
        <v>9459.7518920091316</v>
      </c>
    </row>
    <row r="32" spans="1:10" x14ac:dyDescent="0.3">
      <c r="A32" s="168">
        <f t="shared" si="4"/>
        <v>15</v>
      </c>
      <c r="B32" s="169">
        <f t="shared" si="0"/>
        <v>46478</v>
      </c>
      <c r="C32" s="170">
        <f t="shared" si="5"/>
        <v>225013.4145749094</v>
      </c>
      <c r="D32" s="170">
        <f t="shared" si="8"/>
        <v>2460.4526655071218</v>
      </c>
      <c r="E32" s="171">
        <f t="shared" si="1"/>
        <v>0</v>
      </c>
      <c r="F32" s="170">
        <f t="shared" si="2"/>
        <v>2460.4526655071218</v>
      </c>
      <c r="G32" s="170">
        <f t="shared" si="6"/>
        <v>1822.9146575448785</v>
      </c>
      <c r="H32" s="170">
        <f t="shared" si="7"/>
        <v>637.53800796224334</v>
      </c>
      <c r="I32" s="170">
        <f t="shared" si="3"/>
        <v>223190.49991736453</v>
      </c>
      <c r="J32" s="170">
        <f>SUM($H$18:$H32)</f>
        <v>10097.289899971374</v>
      </c>
    </row>
    <row r="33" spans="1:10" x14ac:dyDescent="0.3">
      <c r="A33" s="168">
        <f t="shared" si="4"/>
        <v>16</v>
      </c>
      <c r="B33" s="169">
        <f t="shared" si="0"/>
        <v>46508</v>
      </c>
      <c r="C33" s="170">
        <f t="shared" si="5"/>
        <v>223190.49991736453</v>
      </c>
      <c r="D33" s="170">
        <f t="shared" si="8"/>
        <v>2460.4526655071218</v>
      </c>
      <c r="E33" s="171">
        <f t="shared" si="1"/>
        <v>0</v>
      </c>
      <c r="F33" s="170">
        <f t="shared" si="2"/>
        <v>2460.4526655071218</v>
      </c>
      <c r="G33" s="170">
        <f t="shared" si="6"/>
        <v>1828.0795824079223</v>
      </c>
      <c r="H33" s="170">
        <f t="shared" si="7"/>
        <v>632.37308309919956</v>
      </c>
      <c r="I33" s="170">
        <f t="shared" si="3"/>
        <v>221362.42033495661</v>
      </c>
      <c r="J33" s="170">
        <f>SUM($H$18:$H33)</f>
        <v>10729.662983070573</v>
      </c>
    </row>
    <row r="34" spans="1:10" x14ac:dyDescent="0.3">
      <c r="A34" s="168">
        <f t="shared" si="4"/>
        <v>17</v>
      </c>
      <c r="B34" s="169">
        <f t="shared" si="0"/>
        <v>46539</v>
      </c>
      <c r="C34" s="170">
        <f t="shared" si="5"/>
        <v>221362.42033495661</v>
      </c>
      <c r="D34" s="170">
        <f t="shared" si="8"/>
        <v>2460.4526655071218</v>
      </c>
      <c r="E34" s="171">
        <f t="shared" si="1"/>
        <v>0</v>
      </c>
      <c r="F34" s="170">
        <f t="shared" si="2"/>
        <v>2460.4526655071218</v>
      </c>
      <c r="G34" s="170">
        <f t="shared" si="6"/>
        <v>1833.2591412247448</v>
      </c>
      <c r="H34" s="170">
        <f t="shared" si="7"/>
        <v>627.1935242823771</v>
      </c>
      <c r="I34" s="170">
        <f t="shared" si="3"/>
        <v>219529.16119373185</v>
      </c>
      <c r="J34" s="170">
        <f>SUM($H$18:$H34)</f>
        <v>11356.85650735295</v>
      </c>
    </row>
    <row r="35" spans="1:10" x14ac:dyDescent="0.3">
      <c r="A35" s="168">
        <f t="shared" si="4"/>
        <v>18</v>
      </c>
      <c r="B35" s="169">
        <f t="shared" si="0"/>
        <v>46569</v>
      </c>
      <c r="C35" s="170">
        <f t="shared" si="5"/>
        <v>219529.16119373185</v>
      </c>
      <c r="D35" s="170">
        <f t="shared" si="8"/>
        <v>2460.4526655071218</v>
      </c>
      <c r="E35" s="171">
        <f t="shared" si="1"/>
        <v>0</v>
      </c>
      <c r="F35" s="170">
        <f t="shared" si="2"/>
        <v>2460.4526655071218</v>
      </c>
      <c r="G35" s="170">
        <f t="shared" si="6"/>
        <v>1838.4533754582149</v>
      </c>
      <c r="H35" s="170">
        <f t="shared" si="7"/>
        <v>621.99929004890703</v>
      </c>
      <c r="I35" s="170">
        <f t="shared" si="3"/>
        <v>217690.70781827363</v>
      </c>
      <c r="J35" s="170">
        <f>SUM($H$18:$H35)</f>
        <v>11978.855797401857</v>
      </c>
    </row>
    <row r="36" spans="1:10" x14ac:dyDescent="0.3">
      <c r="A36" s="168">
        <f t="shared" si="4"/>
        <v>19</v>
      </c>
      <c r="B36" s="169">
        <f t="shared" si="0"/>
        <v>46600</v>
      </c>
      <c r="C36" s="170">
        <f t="shared" si="5"/>
        <v>217690.70781827363</v>
      </c>
      <c r="D36" s="170">
        <f t="shared" si="8"/>
        <v>2460.4526655071218</v>
      </c>
      <c r="E36" s="171">
        <f t="shared" si="1"/>
        <v>0</v>
      </c>
      <c r="F36" s="170">
        <f t="shared" si="2"/>
        <v>2460.4526655071218</v>
      </c>
      <c r="G36" s="170">
        <f t="shared" si="6"/>
        <v>1843.6623266886797</v>
      </c>
      <c r="H36" s="170">
        <f t="shared" si="7"/>
        <v>616.79033881844202</v>
      </c>
      <c r="I36" s="170">
        <f t="shared" si="3"/>
        <v>215847.04549158496</v>
      </c>
      <c r="J36" s="170">
        <f>SUM($H$18:$H36)</f>
        <v>12595.646136220299</v>
      </c>
    </row>
    <row r="37" spans="1:10" x14ac:dyDescent="0.3">
      <c r="A37" s="168">
        <f t="shared" si="4"/>
        <v>20</v>
      </c>
      <c r="B37" s="169">
        <f t="shared" si="0"/>
        <v>46631</v>
      </c>
      <c r="C37" s="170">
        <f t="shared" si="5"/>
        <v>215847.04549158496</v>
      </c>
      <c r="D37" s="170">
        <f t="shared" si="8"/>
        <v>2460.4526655071218</v>
      </c>
      <c r="E37" s="171">
        <f t="shared" si="1"/>
        <v>0</v>
      </c>
      <c r="F37" s="170">
        <f t="shared" si="2"/>
        <v>2460.4526655071218</v>
      </c>
      <c r="G37" s="170">
        <f t="shared" si="6"/>
        <v>1848.8860366142976</v>
      </c>
      <c r="H37" s="170">
        <f t="shared" si="7"/>
        <v>611.56662889282404</v>
      </c>
      <c r="I37" s="170">
        <f t="shared" si="3"/>
        <v>213998.15945497065</v>
      </c>
      <c r="J37" s="170">
        <f>SUM($H$18:$H37)</f>
        <v>13207.212765113123</v>
      </c>
    </row>
    <row r="38" spans="1:10" x14ac:dyDescent="0.3">
      <c r="A38" s="168">
        <f t="shared" si="4"/>
        <v>21</v>
      </c>
      <c r="B38" s="169">
        <f t="shared" si="0"/>
        <v>46661</v>
      </c>
      <c r="C38" s="170">
        <f t="shared" si="5"/>
        <v>213998.15945497065</v>
      </c>
      <c r="D38" s="170">
        <f t="shared" si="8"/>
        <v>2460.4526655071218</v>
      </c>
      <c r="E38" s="171">
        <f t="shared" si="1"/>
        <v>0</v>
      </c>
      <c r="F38" s="170">
        <f t="shared" si="2"/>
        <v>2460.4526655071218</v>
      </c>
      <c r="G38" s="170">
        <f t="shared" si="6"/>
        <v>1854.1245470513716</v>
      </c>
      <c r="H38" s="170">
        <f t="shared" si="7"/>
        <v>606.3281184557502</v>
      </c>
      <c r="I38" s="170">
        <f t="shared" si="3"/>
        <v>212144.03490791927</v>
      </c>
      <c r="J38" s="170">
        <f>SUM($H$18:$H38)</f>
        <v>13813.540883568874</v>
      </c>
    </row>
    <row r="39" spans="1:10" x14ac:dyDescent="0.3">
      <c r="A39" s="168">
        <f t="shared" si="4"/>
        <v>22</v>
      </c>
      <c r="B39" s="169">
        <f t="shared" si="0"/>
        <v>46692</v>
      </c>
      <c r="C39" s="170">
        <f t="shared" si="5"/>
        <v>212144.03490791927</v>
      </c>
      <c r="D39" s="170">
        <f t="shared" si="8"/>
        <v>2460.4526655071218</v>
      </c>
      <c r="E39" s="171">
        <f t="shared" si="1"/>
        <v>0</v>
      </c>
      <c r="F39" s="170">
        <f t="shared" si="2"/>
        <v>2460.4526655071218</v>
      </c>
      <c r="G39" s="170">
        <f t="shared" si="6"/>
        <v>1859.3778999346837</v>
      </c>
      <c r="H39" s="170">
        <f t="shared" si="7"/>
        <v>601.07476557243797</v>
      </c>
      <c r="I39" s="170">
        <f t="shared" si="3"/>
        <v>210284.65700798458</v>
      </c>
      <c r="J39" s="170">
        <f>SUM($H$18:$H39)</f>
        <v>14414.615649141311</v>
      </c>
    </row>
    <row r="40" spans="1:10" x14ac:dyDescent="0.3">
      <c r="A40" s="168">
        <f t="shared" si="4"/>
        <v>23</v>
      </c>
      <c r="B40" s="169">
        <f t="shared" si="0"/>
        <v>46722</v>
      </c>
      <c r="C40" s="170">
        <f t="shared" si="5"/>
        <v>210284.65700798458</v>
      </c>
      <c r="D40" s="170">
        <f t="shared" si="8"/>
        <v>2460.4526655071218</v>
      </c>
      <c r="E40" s="171">
        <f t="shared" si="1"/>
        <v>0</v>
      </c>
      <c r="F40" s="170">
        <f t="shared" si="2"/>
        <v>2460.4526655071218</v>
      </c>
      <c r="G40" s="170">
        <f t="shared" si="6"/>
        <v>1864.6461373178322</v>
      </c>
      <c r="H40" s="170">
        <f t="shared" si="7"/>
        <v>595.80652818928968</v>
      </c>
      <c r="I40" s="170">
        <f t="shared" si="3"/>
        <v>208420.01087066674</v>
      </c>
      <c r="J40" s="170">
        <f>SUM($H$18:$H40)</f>
        <v>15010.422177330602</v>
      </c>
    </row>
    <row r="41" spans="1:10" x14ac:dyDescent="0.3">
      <c r="A41" s="168">
        <f t="shared" si="4"/>
        <v>24</v>
      </c>
      <c r="B41" s="169">
        <f t="shared" si="0"/>
        <v>46753</v>
      </c>
      <c r="C41" s="170">
        <f t="shared" si="5"/>
        <v>208420.01087066674</v>
      </c>
      <c r="D41" s="170">
        <f t="shared" si="8"/>
        <v>2460.4526655071218</v>
      </c>
      <c r="E41" s="171">
        <f t="shared" si="1"/>
        <v>0</v>
      </c>
      <c r="F41" s="170">
        <f t="shared" si="2"/>
        <v>2460.4526655071218</v>
      </c>
      <c r="G41" s="170">
        <f t="shared" si="6"/>
        <v>1869.929301373566</v>
      </c>
      <c r="H41" s="170">
        <f t="shared" si="7"/>
        <v>590.52336413355579</v>
      </c>
      <c r="I41" s="170">
        <f t="shared" si="3"/>
        <v>206550.08156929316</v>
      </c>
      <c r="J41" s="170">
        <f>SUM($H$18:$H41)</f>
        <v>15600.945541464158</v>
      </c>
    </row>
    <row r="42" spans="1:10" x14ac:dyDescent="0.3">
      <c r="A42" s="168">
        <f t="shared" si="4"/>
        <v>25</v>
      </c>
      <c r="B42" s="169">
        <f t="shared" si="0"/>
        <v>46784</v>
      </c>
      <c r="C42" s="170">
        <f t="shared" si="5"/>
        <v>206550.08156929316</v>
      </c>
      <c r="D42" s="170">
        <f t="shared" si="8"/>
        <v>2460.4526655071218</v>
      </c>
      <c r="E42" s="171">
        <f t="shared" si="1"/>
        <v>0</v>
      </c>
      <c r="F42" s="170">
        <f t="shared" si="2"/>
        <v>2460.4526655071218</v>
      </c>
      <c r="G42" s="170">
        <f t="shared" si="6"/>
        <v>1875.2274343941244</v>
      </c>
      <c r="H42" s="170">
        <f t="shared" si="7"/>
        <v>585.22523111299734</v>
      </c>
      <c r="I42" s="170">
        <f t="shared" si="3"/>
        <v>204674.85413489904</v>
      </c>
      <c r="J42" s="170">
        <f>SUM($H$18:$H42)</f>
        <v>16186.170772577156</v>
      </c>
    </row>
    <row r="43" spans="1:10" x14ac:dyDescent="0.3">
      <c r="A43" s="168">
        <f t="shared" si="4"/>
        <v>26</v>
      </c>
      <c r="B43" s="169">
        <f t="shared" si="0"/>
        <v>46813</v>
      </c>
      <c r="C43" s="170">
        <f t="shared" si="5"/>
        <v>204674.85413489904</v>
      </c>
      <c r="D43" s="170">
        <f t="shared" si="8"/>
        <v>2460.4526655071218</v>
      </c>
      <c r="E43" s="171">
        <f t="shared" si="1"/>
        <v>0</v>
      </c>
      <c r="F43" s="170">
        <f t="shared" si="2"/>
        <v>2460.4526655071218</v>
      </c>
      <c r="G43" s="170">
        <f t="shared" si="6"/>
        <v>1880.5405787915743</v>
      </c>
      <c r="H43" s="170">
        <f t="shared" si="7"/>
        <v>579.91208671554739</v>
      </c>
      <c r="I43" s="170">
        <f t="shared" si="3"/>
        <v>202794.31355610746</v>
      </c>
      <c r="J43" s="170">
        <f>SUM($H$18:$H43)</f>
        <v>16766.082859292703</v>
      </c>
    </row>
    <row r="44" spans="1:10" x14ac:dyDescent="0.3">
      <c r="A44" s="168">
        <f t="shared" si="4"/>
        <v>27</v>
      </c>
      <c r="B44" s="169">
        <f t="shared" si="0"/>
        <v>46844</v>
      </c>
      <c r="C44" s="170">
        <f t="shared" si="5"/>
        <v>202794.31355610746</v>
      </c>
      <c r="D44" s="170">
        <f t="shared" si="8"/>
        <v>2460.4526655071218</v>
      </c>
      <c r="E44" s="171">
        <f t="shared" si="1"/>
        <v>0</v>
      </c>
      <c r="F44" s="170">
        <f t="shared" si="2"/>
        <v>2460.4526655071218</v>
      </c>
      <c r="G44" s="170">
        <f t="shared" si="6"/>
        <v>1885.8687770981505</v>
      </c>
      <c r="H44" s="170">
        <f t="shared" si="7"/>
        <v>574.58388840897112</v>
      </c>
      <c r="I44" s="170">
        <f t="shared" si="3"/>
        <v>200908.4447790093</v>
      </c>
      <c r="J44" s="170">
        <f>SUM($H$18:$H44)</f>
        <v>17340.666747701674</v>
      </c>
    </row>
    <row r="45" spans="1:10" x14ac:dyDescent="0.3">
      <c r="A45" s="168">
        <f t="shared" si="4"/>
        <v>28</v>
      </c>
      <c r="B45" s="169">
        <f t="shared" si="0"/>
        <v>46874</v>
      </c>
      <c r="C45" s="170">
        <f t="shared" si="5"/>
        <v>200908.4447790093</v>
      </c>
      <c r="D45" s="170">
        <f t="shared" si="8"/>
        <v>2460.4526655071218</v>
      </c>
      <c r="E45" s="171">
        <f t="shared" si="1"/>
        <v>0</v>
      </c>
      <c r="F45" s="170">
        <f t="shared" si="2"/>
        <v>2460.4526655071218</v>
      </c>
      <c r="G45" s="170">
        <f t="shared" si="6"/>
        <v>1891.2120719665954</v>
      </c>
      <c r="H45" s="170">
        <f t="shared" si="7"/>
        <v>569.24059354052645</v>
      </c>
      <c r="I45" s="170">
        <f t="shared" si="3"/>
        <v>199017.23270704271</v>
      </c>
      <c r="J45" s="170">
        <f>SUM($H$18:$H45)</f>
        <v>17909.9073412422</v>
      </c>
    </row>
    <row r="46" spans="1:10" x14ac:dyDescent="0.3">
      <c r="A46" s="168">
        <f t="shared" si="4"/>
        <v>29</v>
      </c>
      <c r="B46" s="169">
        <f t="shared" si="0"/>
        <v>46905</v>
      </c>
      <c r="C46" s="170">
        <f t="shared" si="5"/>
        <v>199017.23270704271</v>
      </c>
      <c r="D46" s="170">
        <f t="shared" si="8"/>
        <v>2460.4526655071218</v>
      </c>
      <c r="E46" s="171">
        <f t="shared" si="1"/>
        <v>0</v>
      </c>
      <c r="F46" s="170">
        <f t="shared" si="2"/>
        <v>2460.4526655071218</v>
      </c>
      <c r="G46" s="170">
        <f t="shared" si="6"/>
        <v>1896.5705061705007</v>
      </c>
      <c r="H46" s="170">
        <f t="shared" si="7"/>
        <v>563.88215933662104</v>
      </c>
      <c r="I46" s="170">
        <f t="shared" si="3"/>
        <v>197120.6622008722</v>
      </c>
      <c r="J46" s="170">
        <f>SUM($H$18:$H46)</f>
        <v>18473.789500578823</v>
      </c>
    </row>
    <row r="47" spans="1:10" x14ac:dyDescent="0.3">
      <c r="A47" s="168">
        <f t="shared" si="4"/>
        <v>30</v>
      </c>
      <c r="B47" s="169">
        <f t="shared" si="0"/>
        <v>46935</v>
      </c>
      <c r="C47" s="170">
        <f t="shared" si="5"/>
        <v>197120.6622008722</v>
      </c>
      <c r="D47" s="170">
        <f t="shared" si="8"/>
        <v>2460.4526655071218</v>
      </c>
      <c r="E47" s="171">
        <f t="shared" si="1"/>
        <v>0</v>
      </c>
      <c r="F47" s="170">
        <f t="shared" si="2"/>
        <v>2460.4526655071218</v>
      </c>
      <c r="G47" s="170">
        <f t="shared" si="6"/>
        <v>1901.9441226046506</v>
      </c>
      <c r="H47" s="170">
        <f t="shared" si="7"/>
        <v>558.50854290247128</v>
      </c>
      <c r="I47" s="170">
        <f t="shared" si="3"/>
        <v>195218.71807826756</v>
      </c>
      <c r="J47" s="170">
        <f>SUM($H$18:$H47)</f>
        <v>19032.298043481296</v>
      </c>
    </row>
    <row r="48" spans="1:10" x14ac:dyDescent="0.3">
      <c r="A48" s="168">
        <f t="shared" si="4"/>
        <v>31</v>
      </c>
      <c r="B48" s="169">
        <f t="shared" si="0"/>
        <v>46966</v>
      </c>
      <c r="C48" s="170">
        <f t="shared" si="5"/>
        <v>195218.71807826756</v>
      </c>
      <c r="D48" s="170">
        <f t="shared" si="8"/>
        <v>2460.4526655071218</v>
      </c>
      <c r="E48" s="171">
        <f t="shared" si="1"/>
        <v>0</v>
      </c>
      <c r="F48" s="170">
        <f t="shared" si="2"/>
        <v>2460.4526655071218</v>
      </c>
      <c r="G48" s="170">
        <f t="shared" si="6"/>
        <v>1907.3329642853637</v>
      </c>
      <c r="H48" s="170">
        <f t="shared" si="7"/>
        <v>553.11970122175819</v>
      </c>
      <c r="I48" s="170">
        <f t="shared" si="3"/>
        <v>193311.38511398219</v>
      </c>
      <c r="J48" s="170">
        <f>SUM($H$18:$H48)</f>
        <v>19585.417744703056</v>
      </c>
    </row>
    <row r="49" spans="1:10" x14ac:dyDescent="0.3">
      <c r="A49" s="168">
        <f t="shared" si="4"/>
        <v>32</v>
      </c>
      <c r="B49" s="169">
        <f t="shared" si="0"/>
        <v>46997</v>
      </c>
      <c r="C49" s="170">
        <f t="shared" si="5"/>
        <v>193311.38511398219</v>
      </c>
      <c r="D49" s="170">
        <f t="shared" si="8"/>
        <v>2460.4526655071218</v>
      </c>
      <c r="E49" s="171">
        <f t="shared" si="1"/>
        <v>0</v>
      </c>
      <c r="F49" s="170">
        <f t="shared" si="2"/>
        <v>2460.4526655071218</v>
      </c>
      <c r="G49" s="170">
        <f t="shared" si="6"/>
        <v>1912.7370743508388</v>
      </c>
      <c r="H49" s="170">
        <f t="shared" si="7"/>
        <v>547.71559115628293</v>
      </c>
      <c r="I49" s="170">
        <f t="shared" si="3"/>
        <v>191398.64803963134</v>
      </c>
      <c r="J49" s="170">
        <f>SUM($H$18:$H49)</f>
        <v>20133.13333585934</v>
      </c>
    </row>
    <row r="50" spans="1:10" x14ac:dyDescent="0.3">
      <c r="A50" s="168">
        <f t="shared" si="4"/>
        <v>33</v>
      </c>
      <c r="B50" s="169">
        <f t="shared" si="0"/>
        <v>47027</v>
      </c>
      <c r="C50" s="170">
        <f t="shared" si="5"/>
        <v>191398.64803963134</v>
      </c>
      <c r="D50" s="170">
        <f t="shared" si="8"/>
        <v>2460.4526655071218</v>
      </c>
      <c r="E50" s="171">
        <f t="shared" si="1"/>
        <v>0</v>
      </c>
      <c r="F50" s="170">
        <f t="shared" si="2"/>
        <v>2460.4526655071218</v>
      </c>
      <c r="G50" s="170">
        <f t="shared" si="6"/>
        <v>1918.1564960614996</v>
      </c>
      <c r="H50" s="170">
        <f t="shared" si="7"/>
        <v>542.29616944562224</v>
      </c>
      <c r="I50" s="170">
        <f t="shared" si="3"/>
        <v>189480.49154356983</v>
      </c>
      <c r="J50" s="170">
        <f>SUM($H$18:$H50)</f>
        <v>20675.429505304961</v>
      </c>
    </row>
    <row r="51" spans="1:10" x14ac:dyDescent="0.3">
      <c r="A51" s="168">
        <f t="shared" si="4"/>
        <v>34</v>
      </c>
      <c r="B51" s="169">
        <f t="shared" si="0"/>
        <v>47058</v>
      </c>
      <c r="C51" s="170">
        <f t="shared" si="5"/>
        <v>189480.49154356983</v>
      </c>
      <c r="D51" s="170">
        <f t="shared" si="8"/>
        <v>2460.4526655071218</v>
      </c>
      <c r="E51" s="171">
        <f t="shared" si="1"/>
        <v>0</v>
      </c>
      <c r="F51" s="170">
        <f t="shared" si="2"/>
        <v>2460.4526655071218</v>
      </c>
      <c r="G51" s="170">
        <f t="shared" si="6"/>
        <v>1923.5912728003404</v>
      </c>
      <c r="H51" s="170">
        <f t="shared" si="7"/>
        <v>536.8613927067812</v>
      </c>
      <c r="I51" s="170">
        <f t="shared" si="3"/>
        <v>187556.90027076949</v>
      </c>
      <c r="J51" s="170">
        <f>SUM($H$18:$H51)</f>
        <v>21212.290898011743</v>
      </c>
    </row>
    <row r="52" spans="1:10" x14ac:dyDescent="0.3">
      <c r="A52" s="168">
        <f t="shared" si="4"/>
        <v>35</v>
      </c>
      <c r="B52" s="169">
        <f t="shared" si="0"/>
        <v>47088</v>
      </c>
      <c r="C52" s="170">
        <f t="shared" si="5"/>
        <v>187556.90027076949</v>
      </c>
      <c r="D52" s="170">
        <f t="shared" si="8"/>
        <v>2460.4526655071218</v>
      </c>
      <c r="E52" s="171">
        <f t="shared" si="1"/>
        <v>0</v>
      </c>
      <c r="F52" s="170">
        <f t="shared" si="2"/>
        <v>2460.4526655071218</v>
      </c>
      <c r="G52" s="170">
        <f t="shared" si="6"/>
        <v>1929.0414480732748</v>
      </c>
      <c r="H52" s="170">
        <f t="shared" si="7"/>
        <v>531.4112174338469</v>
      </c>
      <c r="I52" s="170">
        <f t="shared" si="3"/>
        <v>185627.8588226962</v>
      </c>
      <c r="J52" s="170">
        <f>SUM($H$18:$H52)</f>
        <v>21743.702115445591</v>
      </c>
    </row>
    <row r="53" spans="1:10" x14ac:dyDescent="0.3">
      <c r="A53" s="168">
        <f t="shared" si="4"/>
        <v>36</v>
      </c>
      <c r="B53" s="169">
        <f t="shared" si="0"/>
        <v>47119</v>
      </c>
      <c r="C53" s="170">
        <f t="shared" si="5"/>
        <v>185627.8588226962</v>
      </c>
      <c r="D53" s="170">
        <f t="shared" si="8"/>
        <v>2460.4526655071218</v>
      </c>
      <c r="E53" s="171">
        <f t="shared" si="1"/>
        <v>0</v>
      </c>
      <c r="F53" s="170">
        <f t="shared" si="2"/>
        <v>2460.4526655071218</v>
      </c>
      <c r="G53" s="170">
        <f t="shared" si="6"/>
        <v>1934.5070655094823</v>
      </c>
      <c r="H53" s="170">
        <f t="shared" si="7"/>
        <v>525.94559999763931</v>
      </c>
      <c r="I53" s="170">
        <f t="shared" si="3"/>
        <v>183693.35175718673</v>
      </c>
      <c r="J53" s="170">
        <f>SUM($H$18:$H53)</f>
        <v>22269.647715443229</v>
      </c>
    </row>
    <row r="54" spans="1:10" x14ac:dyDescent="0.3">
      <c r="A54" s="168">
        <f t="shared" si="4"/>
        <v>37</v>
      </c>
      <c r="B54" s="169">
        <f t="shared" si="0"/>
        <v>47150</v>
      </c>
      <c r="C54" s="170">
        <f t="shared" si="5"/>
        <v>183693.35175718673</v>
      </c>
      <c r="D54" s="170">
        <f t="shared" si="8"/>
        <v>2460.4526655071218</v>
      </c>
      <c r="E54" s="171">
        <f t="shared" si="1"/>
        <v>0</v>
      </c>
      <c r="F54" s="170">
        <f t="shared" si="2"/>
        <v>2460.4526655071218</v>
      </c>
      <c r="G54" s="170">
        <f t="shared" si="6"/>
        <v>1939.9881688617593</v>
      </c>
      <c r="H54" s="170">
        <f t="shared" si="7"/>
        <v>520.46449664536237</v>
      </c>
      <c r="I54" s="170">
        <f t="shared" si="3"/>
        <v>181753.36358832498</v>
      </c>
      <c r="J54" s="170">
        <f>SUM($H$18:$H54)</f>
        <v>22790.112212088592</v>
      </c>
    </row>
    <row r="55" spans="1:10" x14ac:dyDescent="0.3">
      <c r="A55" s="168">
        <f t="shared" si="4"/>
        <v>38</v>
      </c>
      <c r="B55" s="169">
        <f t="shared" si="0"/>
        <v>47178</v>
      </c>
      <c r="C55" s="170">
        <f t="shared" si="5"/>
        <v>181753.36358832498</v>
      </c>
      <c r="D55" s="170">
        <f t="shared" si="8"/>
        <v>2460.4526655071218</v>
      </c>
      <c r="E55" s="171">
        <f t="shared" si="1"/>
        <v>0</v>
      </c>
      <c r="F55" s="170">
        <f t="shared" si="2"/>
        <v>2460.4526655071218</v>
      </c>
      <c r="G55" s="170">
        <f t="shared" si="6"/>
        <v>1945.4848020068675</v>
      </c>
      <c r="H55" s="170">
        <f t="shared" si="7"/>
        <v>514.96786350025411</v>
      </c>
      <c r="I55" s="170">
        <f t="shared" si="3"/>
        <v>179807.87878631812</v>
      </c>
      <c r="J55" s="170">
        <f>SUM($H$18:$H55)</f>
        <v>23305.080075588845</v>
      </c>
    </row>
    <row r="56" spans="1:10" x14ac:dyDescent="0.3">
      <c r="A56" s="168">
        <f t="shared" si="4"/>
        <v>39</v>
      </c>
      <c r="B56" s="169">
        <f t="shared" si="0"/>
        <v>47209</v>
      </c>
      <c r="C56" s="170">
        <f t="shared" si="5"/>
        <v>179807.87878631812</v>
      </c>
      <c r="D56" s="170">
        <f t="shared" si="8"/>
        <v>2460.4526655071218</v>
      </c>
      <c r="E56" s="171">
        <f t="shared" si="1"/>
        <v>0</v>
      </c>
      <c r="F56" s="170">
        <f t="shared" si="2"/>
        <v>2460.4526655071218</v>
      </c>
      <c r="G56" s="170">
        <f t="shared" si="6"/>
        <v>1950.997008945887</v>
      </c>
      <c r="H56" s="170">
        <f t="shared" si="7"/>
        <v>509.45565656123472</v>
      </c>
      <c r="I56" s="170">
        <f t="shared" si="3"/>
        <v>177856.88177737224</v>
      </c>
      <c r="J56" s="170">
        <f>SUM($H$18:$H56)</f>
        <v>23814.535732150078</v>
      </c>
    </row>
    <row r="57" spans="1:10" x14ac:dyDescent="0.3">
      <c r="A57" s="168">
        <f t="shared" si="4"/>
        <v>40</v>
      </c>
      <c r="B57" s="169">
        <f t="shared" si="0"/>
        <v>47239</v>
      </c>
      <c r="C57" s="170">
        <f t="shared" si="5"/>
        <v>177856.88177737224</v>
      </c>
      <c r="D57" s="170">
        <f t="shared" si="8"/>
        <v>2460.4526655071218</v>
      </c>
      <c r="E57" s="171">
        <f t="shared" si="1"/>
        <v>0</v>
      </c>
      <c r="F57" s="170">
        <f t="shared" si="2"/>
        <v>2460.4526655071218</v>
      </c>
      <c r="G57" s="170">
        <f t="shared" si="6"/>
        <v>1956.5248338045672</v>
      </c>
      <c r="H57" s="170">
        <f t="shared" si="7"/>
        <v>503.92783170255467</v>
      </c>
      <c r="I57" s="170">
        <f t="shared" si="3"/>
        <v>175900.35694356766</v>
      </c>
      <c r="J57" s="170">
        <f>SUM($H$18:$H57)</f>
        <v>24318.463563852634</v>
      </c>
    </row>
    <row r="58" spans="1:10" x14ac:dyDescent="0.3">
      <c r="A58" s="168">
        <f t="shared" si="4"/>
        <v>41</v>
      </c>
      <c r="B58" s="169">
        <f t="shared" si="0"/>
        <v>47270</v>
      </c>
      <c r="C58" s="170">
        <f t="shared" si="5"/>
        <v>175900.35694356766</v>
      </c>
      <c r="D58" s="170">
        <f t="shared" si="8"/>
        <v>2460.4526655071218</v>
      </c>
      <c r="E58" s="171">
        <f t="shared" si="1"/>
        <v>0</v>
      </c>
      <c r="F58" s="170">
        <f t="shared" si="2"/>
        <v>2460.4526655071218</v>
      </c>
      <c r="G58" s="170">
        <f t="shared" si="6"/>
        <v>1962.06832083368</v>
      </c>
      <c r="H58" s="170">
        <f t="shared" si="7"/>
        <v>498.38434467344177</v>
      </c>
      <c r="I58" s="170">
        <f t="shared" si="3"/>
        <v>173938.28862273399</v>
      </c>
      <c r="J58" s="170">
        <f>SUM($H$18:$H58)</f>
        <v>24816.847908526077</v>
      </c>
    </row>
    <row r="59" spans="1:10" x14ac:dyDescent="0.3">
      <c r="A59" s="168">
        <f t="shared" si="4"/>
        <v>42</v>
      </c>
      <c r="B59" s="169">
        <f t="shared" si="0"/>
        <v>47300</v>
      </c>
      <c r="C59" s="170">
        <f t="shared" si="5"/>
        <v>173938.28862273399</v>
      </c>
      <c r="D59" s="170">
        <f t="shared" si="8"/>
        <v>2460.4526655071218</v>
      </c>
      <c r="E59" s="171">
        <f t="shared" si="1"/>
        <v>0</v>
      </c>
      <c r="F59" s="170">
        <f t="shared" si="2"/>
        <v>2460.4526655071218</v>
      </c>
      <c r="G59" s="170">
        <f t="shared" si="6"/>
        <v>1967.6275144093754</v>
      </c>
      <c r="H59" s="170">
        <f t="shared" si="7"/>
        <v>492.82515109774636</v>
      </c>
      <c r="I59" s="170">
        <f t="shared" si="3"/>
        <v>171970.66110832462</v>
      </c>
      <c r="J59" s="170">
        <f>SUM($H$18:$H59)</f>
        <v>25309.673059623823</v>
      </c>
    </row>
    <row r="60" spans="1:10" x14ac:dyDescent="0.3">
      <c r="A60" s="168">
        <f t="shared" si="4"/>
        <v>43</v>
      </c>
      <c r="B60" s="169">
        <f t="shared" si="0"/>
        <v>47331</v>
      </c>
      <c r="C60" s="170">
        <f t="shared" si="5"/>
        <v>171970.66110832462</v>
      </c>
      <c r="D60" s="170">
        <f t="shared" si="8"/>
        <v>2460.4526655071218</v>
      </c>
      <c r="E60" s="171">
        <f t="shared" si="1"/>
        <v>0</v>
      </c>
      <c r="F60" s="170">
        <f t="shared" si="2"/>
        <v>2460.4526655071218</v>
      </c>
      <c r="G60" s="170">
        <f t="shared" si="6"/>
        <v>1973.2024590335352</v>
      </c>
      <c r="H60" s="170">
        <f t="shared" si="7"/>
        <v>487.2502064735865</v>
      </c>
      <c r="I60" s="170">
        <f t="shared" si="3"/>
        <v>169997.45864929107</v>
      </c>
      <c r="J60" s="170">
        <f>SUM($H$18:$H60)</f>
        <v>25796.923266097408</v>
      </c>
    </row>
    <row r="61" spans="1:10" x14ac:dyDescent="0.3">
      <c r="A61" s="168">
        <f t="shared" si="4"/>
        <v>44</v>
      </c>
      <c r="B61" s="169">
        <f t="shared" si="0"/>
        <v>47362</v>
      </c>
      <c r="C61" s="170">
        <f t="shared" si="5"/>
        <v>169997.45864929107</v>
      </c>
      <c r="D61" s="170">
        <f t="shared" si="8"/>
        <v>2460.4526655071218</v>
      </c>
      <c r="E61" s="171">
        <f t="shared" si="1"/>
        <v>0</v>
      </c>
      <c r="F61" s="170">
        <f t="shared" si="2"/>
        <v>2460.4526655071218</v>
      </c>
      <c r="G61" s="170">
        <f t="shared" si="6"/>
        <v>1978.7931993341303</v>
      </c>
      <c r="H61" s="170">
        <f t="shared" si="7"/>
        <v>481.65946617299142</v>
      </c>
      <c r="I61" s="170">
        <f t="shared" si="3"/>
        <v>168018.66544995696</v>
      </c>
      <c r="J61" s="170">
        <f>SUM($H$18:$H61)</f>
        <v>26278.582732270399</v>
      </c>
    </row>
    <row r="62" spans="1:10" x14ac:dyDescent="0.3">
      <c r="A62" s="168">
        <f t="shared" si="4"/>
        <v>45</v>
      </c>
      <c r="B62" s="169">
        <f t="shared" si="0"/>
        <v>47392</v>
      </c>
      <c r="C62" s="170">
        <f t="shared" si="5"/>
        <v>168018.66544995696</v>
      </c>
      <c r="D62" s="170">
        <f t="shared" si="8"/>
        <v>2460.4526655071218</v>
      </c>
      <c r="E62" s="171">
        <f t="shared" si="1"/>
        <v>0</v>
      </c>
      <c r="F62" s="170">
        <f t="shared" si="2"/>
        <v>2460.4526655071218</v>
      </c>
      <c r="G62" s="170">
        <f t="shared" si="6"/>
        <v>1984.399780065577</v>
      </c>
      <c r="H62" s="170">
        <f t="shared" si="7"/>
        <v>476.05288544154473</v>
      </c>
      <c r="I62" s="170">
        <f t="shared" si="3"/>
        <v>166034.26566989138</v>
      </c>
      <c r="J62" s="170">
        <f>SUM($H$18:$H62)</f>
        <v>26754.635617711945</v>
      </c>
    </row>
    <row r="63" spans="1:10" x14ac:dyDescent="0.3">
      <c r="A63" s="168">
        <f t="shared" si="4"/>
        <v>46</v>
      </c>
      <c r="B63" s="169">
        <f t="shared" si="0"/>
        <v>47423</v>
      </c>
      <c r="C63" s="170">
        <f t="shared" si="5"/>
        <v>166034.26566989138</v>
      </c>
      <c r="D63" s="170">
        <f t="shared" si="8"/>
        <v>2460.4526655071218</v>
      </c>
      <c r="E63" s="171">
        <f t="shared" si="1"/>
        <v>0</v>
      </c>
      <c r="F63" s="170">
        <f t="shared" si="2"/>
        <v>2460.4526655071218</v>
      </c>
      <c r="G63" s="170">
        <f t="shared" si="6"/>
        <v>1990.0222461090962</v>
      </c>
      <c r="H63" s="170">
        <f t="shared" si="7"/>
        <v>470.43041939802561</v>
      </c>
      <c r="I63" s="170">
        <f t="shared" si="3"/>
        <v>164044.24342378229</v>
      </c>
      <c r="J63" s="170">
        <f>SUM($H$18:$H63)</f>
        <v>27225.066037109969</v>
      </c>
    </row>
    <row r="64" spans="1:10" x14ac:dyDescent="0.3">
      <c r="A64" s="168">
        <f t="shared" si="4"/>
        <v>47</v>
      </c>
      <c r="B64" s="169">
        <f t="shared" si="0"/>
        <v>47453</v>
      </c>
      <c r="C64" s="170">
        <f t="shared" si="5"/>
        <v>164044.24342378229</v>
      </c>
      <c r="D64" s="170">
        <f t="shared" si="8"/>
        <v>2460.4526655071218</v>
      </c>
      <c r="E64" s="171">
        <f t="shared" si="1"/>
        <v>0</v>
      </c>
      <c r="F64" s="170">
        <f t="shared" si="2"/>
        <v>2460.4526655071218</v>
      </c>
      <c r="G64" s="170">
        <f t="shared" si="6"/>
        <v>1995.6606424730719</v>
      </c>
      <c r="H64" s="170">
        <f t="shared" si="7"/>
        <v>464.79202303404986</v>
      </c>
      <c r="I64" s="170">
        <f t="shared" si="3"/>
        <v>162048.5827813092</v>
      </c>
      <c r="J64" s="170">
        <f>SUM($H$18:$H64)</f>
        <v>27689.858060144019</v>
      </c>
    </row>
    <row r="65" spans="1:10" x14ac:dyDescent="0.3">
      <c r="A65" s="168">
        <f t="shared" si="4"/>
        <v>48</v>
      </c>
      <c r="B65" s="169">
        <f t="shared" si="0"/>
        <v>47484</v>
      </c>
      <c r="C65" s="170">
        <f t="shared" si="5"/>
        <v>162048.5827813092</v>
      </c>
      <c r="D65" s="170">
        <f t="shared" si="8"/>
        <v>2460.4526655071218</v>
      </c>
      <c r="E65" s="171">
        <f t="shared" si="1"/>
        <v>0</v>
      </c>
      <c r="F65" s="170">
        <f t="shared" si="2"/>
        <v>2460.4526655071218</v>
      </c>
      <c r="G65" s="170">
        <f t="shared" si="6"/>
        <v>2001.3150142934123</v>
      </c>
      <c r="H65" s="170">
        <f t="shared" si="7"/>
        <v>459.13765121370943</v>
      </c>
      <c r="I65" s="170">
        <f t="shared" si="3"/>
        <v>160047.26776701579</v>
      </c>
      <c r="J65" s="170">
        <f>SUM($H$18:$H65)</f>
        <v>28148.995711357729</v>
      </c>
    </row>
    <row r="66" spans="1:10" x14ac:dyDescent="0.3">
      <c r="A66" s="168">
        <f t="shared" si="4"/>
        <v>49</v>
      </c>
      <c r="B66" s="169">
        <f t="shared" si="0"/>
        <v>47515</v>
      </c>
      <c r="C66" s="170">
        <f t="shared" si="5"/>
        <v>160047.26776701579</v>
      </c>
      <c r="D66" s="170">
        <f t="shared" si="8"/>
        <v>2460.4526655071218</v>
      </c>
      <c r="E66" s="171">
        <f t="shared" si="1"/>
        <v>0</v>
      </c>
      <c r="F66" s="170">
        <f t="shared" si="2"/>
        <v>2460.4526655071218</v>
      </c>
      <c r="G66" s="170">
        <f t="shared" si="6"/>
        <v>2006.9854068339102</v>
      </c>
      <c r="H66" s="170">
        <f t="shared" si="7"/>
        <v>453.46725867321146</v>
      </c>
      <c r="I66" s="170">
        <f t="shared" si="3"/>
        <v>158040.28236018188</v>
      </c>
      <c r="J66" s="170">
        <f>SUM($H$18:$H66)</f>
        <v>28602.462970030942</v>
      </c>
    </row>
    <row r="67" spans="1:10" x14ac:dyDescent="0.3">
      <c r="A67" s="168">
        <f t="shared" si="4"/>
        <v>50</v>
      </c>
      <c r="B67" s="169">
        <f t="shared" si="0"/>
        <v>47543</v>
      </c>
      <c r="C67" s="170">
        <f t="shared" si="5"/>
        <v>158040.28236018188</v>
      </c>
      <c r="D67" s="170">
        <f t="shared" si="8"/>
        <v>2460.4526655071218</v>
      </c>
      <c r="E67" s="171">
        <f t="shared" si="1"/>
        <v>0</v>
      </c>
      <c r="F67" s="170">
        <f t="shared" si="2"/>
        <v>2460.4526655071218</v>
      </c>
      <c r="G67" s="170">
        <f t="shared" si="6"/>
        <v>2012.6718654866063</v>
      </c>
      <c r="H67" s="170">
        <f t="shared" si="7"/>
        <v>447.78080002051541</v>
      </c>
      <c r="I67" s="170">
        <f t="shared" si="3"/>
        <v>156027.61049469528</v>
      </c>
      <c r="J67" s="170">
        <f>SUM($H$18:$H67)</f>
        <v>29050.243770051457</v>
      </c>
    </row>
    <row r="68" spans="1:10" x14ac:dyDescent="0.3">
      <c r="A68" s="168">
        <f t="shared" si="4"/>
        <v>51</v>
      </c>
      <c r="B68" s="169">
        <f t="shared" si="0"/>
        <v>47574</v>
      </c>
      <c r="C68" s="170">
        <f t="shared" si="5"/>
        <v>156027.61049469528</v>
      </c>
      <c r="D68" s="170">
        <f t="shared" si="8"/>
        <v>2460.4526655071218</v>
      </c>
      <c r="E68" s="171">
        <f t="shared" si="1"/>
        <v>0</v>
      </c>
      <c r="F68" s="170">
        <f t="shared" si="2"/>
        <v>2460.4526655071218</v>
      </c>
      <c r="G68" s="170">
        <f t="shared" si="6"/>
        <v>2018.3744357721519</v>
      </c>
      <c r="H68" s="170">
        <f t="shared" si="7"/>
        <v>442.07822973496997</v>
      </c>
      <c r="I68" s="170">
        <f t="shared" si="3"/>
        <v>154009.23605892312</v>
      </c>
      <c r="J68" s="170">
        <f>SUM($H$18:$H68)</f>
        <v>29492.321999786425</v>
      </c>
    </row>
    <row r="69" spans="1:10" x14ac:dyDescent="0.3">
      <c r="A69" s="168">
        <f t="shared" si="4"/>
        <v>52</v>
      </c>
      <c r="B69" s="169">
        <f t="shared" si="0"/>
        <v>47604</v>
      </c>
      <c r="C69" s="170">
        <f t="shared" si="5"/>
        <v>154009.23605892312</v>
      </c>
      <c r="D69" s="170">
        <f t="shared" si="8"/>
        <v>2460.4526655071218</v>
      </c>
      <c r="E69" s="171">
        <f t="shared" si="1"/>
        <v>0</v>
      </c>
      <c r="F69" s="170">
        <f t="shared" si="2"/>
        <v>2460.4526655071218</v>
      </c>
      <c r="G69" s="170">
        <f t="shared" si="6"/>
        <v>2024.0931633401729</v>
      </c>
      <c r="H69" s="170">
        <f t="shared" si="7"/>
        <v>436.35950216694891</v>
      </c>
      <c r="I69" s="170">
        <f t="shared" si="3"/>
        <v>151985.14289558295</v>
      </c>
      <c r="J69" s="170">
        <f>SUM($H$18:$H69)</f>
        <v>29928.681501953375</v>
      </c>
    </row>
    <row r="70" spans="1:10" x14ac:dyDescent="0.3">
      <c r="A70" s="168">
        <f t="shared" si="4"/>
        <v>53</v>
      </c>
      <c r="B70" s="169">
        <f t="shared" si="0"/>
        <v>47635</v>
      </c>
      <c r="C70" s="170">
        <f t="shared" si="5"/>
        <v>151985.14289558295</v>
      </c>
      <c r="D70" s="170">
        <f t="shared" si="8"/>
        <v>2460.4526655071218</v>
      </c>
      <c r="E70" s="171">
        <f t="shared" si="1"/>
        <v>0</v>
      </c>
      <c r="F70" s="170">
        <f t="shared" si="2"/>
        <v>2460.4526655071218</v>
      </c>
      <c r="G70" s="170">
        <f t="shared" si="6"/>
        <v>2029.8280939696367</v>
      </c>
      <c r="H70" s="170">
        <f t="shared" si="7"/>
        <v>430.62457153748505</v>
      </c>
      <c r="I70" s="170">
        <f t="shared" si="3"/>
        <v>149955.31480161331</v>
      </c>
      <c r="J70" s="170">
        <f>SUM($H$18:$H70)</f>
        <v>30359.306073490861</v>
      </c>
    </row>
    <row r="71" spans="1:10" x14ac:dyDescent="0.3">
      <c r="A71" s="168">
        <f t="shared" si="4"/>
        <v>54</v>
      </c>
      <c r="B71" s="169">
        <f t="shared" si="0"/>
        <v>47665</v>
      </c>
      <c r="C71" s="170">
        <f t="shared" si="5"/>
        <v>149955.31480161331</v>
      </c>
      <c r="D71" s="170">
        <f t="shared" si="8"/>
        <v>2460.4526655071218</v>
      </c>
      <c r="E71" s="171">
        <f t="shared" si="1"/>
        <v>0</v>
      </c>
      <c r="F71" s="170">
        <f t="shared" si="2"/>
        <v>2460.4526655071218</v>
      </c>
      <c r="G71" s="170">
        <f t="shared" si="6"/>
        <v>2035.5792735692173</v>
      </c>
      <c r="H71" s="170">
        <f t="shared" si="7"/>
        <v>424.87339193790439</v>
      </c>
      <c r="I71" s="170">
        <f t="shared" si="3"/>
        <v>147919.73552804408</v>
      </c>
      <c r="J71" s="170">
        <f>SUM($H$18:$H71)</f>
        <v>30784.179465428766</v>
      </c>
    </row>
    <row r="72" spans="1:10" x14ac:dyDescent="0.3">
      <c r="A72" s="168">
        <f t="shared" si="4"/>
        <v>55</v>
      </c>
      <c r="B72" s="169">
        <f t="shared" si="0"/>
        <v>47696</v>
      </c>
      <c r="C72" s="170">
        <f t="shared" si="5"/>
        <v>147919.73552804408</v>
      </c>
      <c r="D72" s="170">
        <f t="shared" si="8"/>
        <v>2460.4526655071218</v>
      </c>
      <c r="E72" s="171">
        <f t="shared" si="1"/>
        <v>0</v>
      </c>
      <c r="F72" s="170">
        <f t="shared" si="2"/>
        <v>2460.4526655071218</v>
      </c>
      <c r="G72" s="170">
        <f t="shared" si="6"/>
        <v>2041.3467481776636</v>
      </c>
      <c r="H72" s="170">
        <f t="shared" si="7"/>
        <v>419.10591732945824</v>
      </c>
      <c r="I72" s="170">
        <f t="shared" si="3"/>
        <v>145878.38877986642</v>
      </c>
      <c r="J72" s="170">
        <f>SUM($H$18:$H72)</f>
        <v>31203.285382758226</v>
      </c>
    </row>
    <row r="73" spans="1:10" x14ac:dyDescent="0.3">
      <c r="A73" s="168">
        <f t="shared" si="4"/>
        <v>56</v>
      </c>
      <c r="B73" s="169">
        <f t="shared" si="0"/>
        <v>47727</v>
      </c>
      <c r="C73" s="170">
        <f t="shared" si="5"/>
        <v>145878.38877986642</v>
      </c>
      <c r="D73" s="170">
        <f t="shared" si="8"/>
        <v>2460.4526655071218</v>
      </c>
      <c r="E73" s="171">
        <f t="shared" si="1"/>
        <v>0</v>
      </c>
      <c r="F73" s="170">
        <f t="shared" si="2"/>
        <v>2460.4526655071218</v>
      </c>
      <c r="G73" s="170">
        <f t="shared" si="6"/>
        <v>2047.1305639641669</v>
      </c>
      <c r="H73" s="170">
        <f t="shared" si="7"/>
        <v>413.3221015429549</v>
      </c>
      <c r="I73" s="170">
        <f t="shared" si="3"/>
        <v>143831.25821590226</v>
      </c>
      <c r="J73" s="170">
        <f>SUM($H$18:$H73)</f>
        <v>31616.607484301181</v>
      </c>
    </row>
    <row r="74" spans="1:10" x14ac:dyDescent="0.3">
      <c r="A74" s="168">
        <f t="shared" si="4"/>
        <v>57</v>
      </c>
      <c r="B74" s="169">
        <f t="shared" si="0"/>
        <v>47757</v>
      </c>
      <c r="C74" s="170">
        <f t="shared" si="5"/>
        <v>143831.25821590226</v>
      </c>
      <c r="D74" s="170">
        <f t="shared" si="8"/>
        <v>2460.4526655071218</v>
      </c>
      <c r="E74" s="171">
        <f t="shared" si="1"/>
        <v>0</v>
      </c>
      <c r="F74" s="170">
        <f t="shared" si="2"/>
        <v>2460.4526655071218</v>
      </c>
      <c r="G74" s="170">
        <f t="shared" si="6"/>
        <v>2052.9307672287318</v>
      </c>
      <c r="H74" s="170">
        <f t="shared" si="7"/>
        <v>407.52189827838976</v>
      </c>
      <c r="I74" s="170">
        <f t="shared" si="3"/>
        <v>141778.32744867352</v>
      </c>
      <c r="J74" s="170">
        <f>SUM($H$18:$H74)</f>
        <v>32024.129382579569</v>
      </c>
    </row>
    <row r="75" spans="1:10" x14ac:dyDescent="0.3">
      <c r="A75" s="168">
        <f t="shared" si="4"/>
        <v>58</v>
      </c>
      <c r="B75" s="169">
        <f t="shared" si="0"/>
        <v>47788</v>
      </c>
      <c r="C75" s="170">
        <f t="shared" si="5"/>
        <v>141778.32744867352</v>
      </c>
      <c r="D75" s="170">
        <f t="shared" si="8"/>
        <v>2460.4526655071218</v>
      </c>
      <c r="E75" s="171">
        <f t="shared" si="1"/>
        <v>0</v>
      </c>
      <c r="F75" s="170">
        <f t="shared" si="2"/>
        <v>2460.4526655071218</v>
      </c>
      <c r="G75" s="170">
        <f t="shared" si="6"/>
        <v>2058.7474044025466</v>
      </c>
      <c r="H75" s="170">
        <f t="shared" si="7"/>
        <v>401.70526110457496</v>
      </c>
      <c r="I75" s="170">
        <f t="shared" si="3"/>
        <v>139719.58004427096</v>
      </c>
      <c r="J75" s="170">
        <f>SUM($H$18:$H75)</f>
        <v>32425.834643684146</v>
      </c>
    </row>
    <row r="76" spans="1:10" x14ac:dyDescent="0.3">
      <c r="A76" s="168">
        <f t="shared" si="4"/>
        <v>59</v>
      </c>
      <c r="B76" s="169">
        <f t="shared" si="0"/>
        <v>47818</v>
      </c>
      <c r="C76" s="170">
        <f t="shared" si="5"/>
        <v>139719.58004427096</v>
      </c>
      <c r="D76" s="170">
        <f t="shared" si="8"/>
        <v>2460.4526655071218</v>
      </c>
      <c r="E76" s="171">
        <f t="shared" si="1"/>
        <v>0</v>
      </c>
      <c r="F76" s="170">
        <f t="shared" si="2"/>
        <v>2460.4526655071218</v>
      </c>
      <c r="G76" s="170">
        <f t="shared" si="6"/>
        <v>2064.5805220483539</v>
      </c>
      <c r="H76" s="170">
        <f t="shared" si="7"/>
        <v>395.87214345876777</v>
      </c>
      <c r="I76" s="170">
        <f t="shared" si="3"/>
        <v>137654.99952222261</v>
      </c>
      <c r="J76" s="170">
        <f>SUM($H$18:$H76)</f>
        <v>32821.70678714291</v>
      </c>
    </row>
    <row r="77" spans="1:10" x14ac:dyDescent="0.3">
      <c r="A77" s="168">
        <f t="shared" si="4"/>
        <v>60</v>
      </c>
      <c r="B77" s="169">
        <f t="shared" si="0"/>
        <v>47849</v>
      </c>
      <c r="C77" s="170">
        <f t="shared" si="5"/>
        <v>137654.99952222261</v>
      </c>
      <c r="D77" s="170">
        <f t="shared" si="8"/>
        <v>2460.4526655071218</v>
      </c>
      <c r="E77" s="171">
        <f t="shared" si="1"/>
        <v>0</v>
      </c>
      <c r="F77" s="170">
        <f t="shared" si="2"/>
        <v>2460.4526655071218</v>
      </c>
      <c r="G77" s="170">
        <f t="shared" si="6"/>
        <v>2070.4301668608241</v>
      </c>
      <c r="H77" s="170">
        <f t="shared" si="7"/>
        <v>390.02249864629744</v>
      </c>
      <c r="I77" s="170">
        <f t="shared" si="3"/>
        <v>135584.5693553618</v>
      </c>
      <c r="J77" s="170">
        <f>SUM($H$18:$H77)</f>
        <v>33211.72928578921</v>
      </c>
    </row>
    <row r="78" spans="1:10" x14ac:dyDescent="0.3">
      <c r="A78" s="168">
        <f t="shared" si="4"/>
        <v>61</v>
      </c>
      <c r="B78" s="169">
        <f t="shared" si="0"/>
        <v>47880</v>
      </c>
      <c r="C78" s="170">
        <f t="shared" si="5"/>
        <v>135584.5693553618</v>
      </c>
      <c r="D78" s="170">
        <f t="shared" si="8"/>
        <v>2460.4526655071218</v>
      </c>
      <c r="E78" s="171">
        <f t="shared" si="1"/>
        <v>0</v>
      </c>
      <c r="F78" s="170">
        <f t="shared" si="2"/>
        <v>2460.4526655071218</v>
      </c>
      <c r="G78" s="170">
        <f t="shared" si="6"/>
        <v>2076.2963856669298</v>
      </c>
      <c r="H78" s="170">
        <f t="shared" si="7"/>
        <v>384.15627984019176</v>
      </c>
      <c r="I78" s="170">
        <f t="shared" si="3"/>
        <v>133508.27296969487</v>
      </c>
      <c r="J78" s="170">
        <f>SUM($H$18:$H78)</f>
        <v>33595.885565629404</v>
      </c>
    </row>
    <row r="79" spans="1:10" x14ac:dyDescent="0.3">
      <c r="A79" s="168">
        <f t="shared" si="4"/>
        <v>62</v>
      </c>
      <c r="B79" s="169">
        <f t="shared" si="0"/>
        <v>47908</v>
      </c>
      <c r="C79" s="170">
        <f t="shared" si="5"/>
        <v>133508.27296969487</v>
      </c>
      <c r="D79" s="170">
        <f t="shared" si="8"/>
        <v>2460.4526655071218</v>
      </c>
      <c r="E79" s="171">
        <f t="shared" si="1"/>
        <v>0</v>
      </c>
      <c r="F79" s="170">
        <f t="shared" si="2"/>
        <v>2460.4526655071218</v>
      </c>
      <c r="G79" s="170">
        <f t="shared" si="6"/>
        <v>2082.1792254263196</v>
      </c>
      <c r="H79" s="170">
        <f t="shared" si="7"/>
        <v>378.27344008080217</v>
      </c>
      <c r="I79" s="170">
        <f t="shared" si="3"/>
        <v>131426.09374426855</v>
      </c>
      <c r="J79" s="170">
        <f>SUM($H$18:$H79)</f>
        <v>33974.159005710208</v>
      </c>
    </row>
    <row r="80" spans="1:10" x14ac:dyDescent="0.3">
      <c r="A80" s="168">
        <f t="shared" si="4"/>
        <v>63</v>
      </c>
      <c r="B80" s="169">
        <f t="shared" si="0"/>
        <v>47939</v>
      </c>
      <c r="C80" s="170">
        <f t="shared" si="5"/>
        <v>131426.09374426855</v>
      </c>
      <c r="D80" s="170">
        <f t="shared" si="8"/>
        <v>2460.4526655071218</v>
      </c>
      <c r="E80" s="171">
        <f t="shared" si="1"/>
        <v>0</v>
      </c>
      <c r="F80" s="170">
        <f t="shared" si="2"/>
        <v>2460.4526655071218</v>
      </c>
      <c r="G80" s="170">
        <f t="shared" si="6"/>
        <v>2088.0787332316941</v>
      </c>
      <c r="H80" s="170">
        <f t="shared" si="7"/>
        <v>372.37393227542765</v>
      </c>
      <c r="I80" s="170">
        <f t="shared" si="3"/>
        <v>129338.01501103686</v>
      </c>
      <c r="J80" s="170">
        <f>SUM($H$18:$H80)</f>
        <v>34346.532937985634</v>
      </c>
    </row>
    <row r="81" spans="1:10" x14ac:dyDescent="0.3">
      <c r="A81" s="168">
        <f t="shared" si="4"/>
        <v>64</v>
      </c>
      <c r="B81" s="169">
        <f t="shared" si="0"/>
        <v>47969</v>
      </c>
      <c r="C81" s="170">
        <f t="shared" si="5"/>
        <v>129338.01501103686</v>
      </c>
      <c r="D81" s="170">
        <f t="shared" si="8"/>
        <v>2460.4526655071218</v>
      </c>
      <c r="E81" s="171">
        <f t="shared" si="1"/>
        <v>0</v>
      </c>
      <c r="F81" s="170">
        <f t="shared" si="2"/>
        <v>2460.4526655071218</v>
      </c>
      <c r="G81" s="170">
        <f t="shared" si="6"/>
        <v>2093.9949563091841</v>
      </c>
      <c r="H81" s="170">
        <f t="shared" si="7"/>
        <v>366.45770919793773</v>
      </c>
      <c r="I81" s="170">
        <f t="shared" si="3"/>
        <v>127244.02005472768</v>
      </c>
      <c r="J81" s="170">
        <f>SUM($H$18:$H81)</f>
        <v>34712.990647183571</v>
      </c>
    </row>
    <row r="82" spans="1:10" x14ac:dyDescent="0.3">
      <c r="A82" s="168">
        <f t="shared" si="4"/>
        <v>65</v>
      </c>
      <c r="B82" s="169">
        <f t="shared" ref="B82:B145" si="9">IF(Nbre_Pmt&lt;&gt;"",DATE(YEAR(Début_Prêt),MONTH(Début_Prêt)+(Nbre_Pmt)*12/Nbre_Pmt_Par_An,DAY(Début_Prêt)),"")</f>
        <v>48000</v>
      </c>
      <c r="C82" s="170">
        <f t="shared" si="5"/>
        <v>127244.02005472768</v>
      </c>
      <c r="D82" s="170">
        <f t="shared" si="8"/>
        <v>2460.4526655071218</v>
      </c>
      <c r="E82" s="171">
        <f t="shared" ref="E82:E145" si="10">IF(AND(Nbre_Pmt&lt;&gt;"",Pmt_Programmé+Pmts_Supplémentaires_Programmés&lt;Solde_Départ),Pmts_Supplémentaires_Programmés,IF(AND(Nbre_Pmt&lt;&gt;"",Solde_Départ-Pmt_Programmé&gt;0),Solde_Départ-Pmt_Programmé,IF(Nbre_Pmt&lt;&gt;"",0,"")))</f>
        <v>0</v>
      </c>
      <c r="F82" s="170">
        <f t="shared" ref="F82:F145" si="11">IF(AND(Nbre_Pmt&lt;&gt;"",Pmt_Programmé+Pmt_Supplémentaire&lt;Solde_Départ),Pmt_Programmé+Pmt_Supplémentaire,IF(Nbre_Pmt&lt;&gt;"",Solde_Départ,""))</f>
        <v>2460.4526655071218</v>
      </c>
      <c r="G82" s="170">
        <f t="shared" si="6"/>
        <v>2099.9279420187268</v>
      </c>
      <c r="H82" s="170">
        <f t="shared" si="7"/>
        <v>360.52472348839507</v>
      </c>
      <c r="I82" s="170">
        <f t="shared" ref="I82:I145" si="12">IF(AND(Nbre_Pmt&lt;&gt;"",Pmt_Programmé+Pmt_Supplémentaire&lt;Solde_Départ),Solde_Départ-Princ,IF(Nbre_Pmt&lt;&gt;"",0,""))</f>
        <v>125144.09211270895</v>
      </c>
      <c r="J82" s="170">
        <f>SUM($H$18:$H82)</f>
        <v>35073.515370671965</v>
      </c>
    </row>
    <row r="83" spans="1:10" x14ac:dyDescent="0.3">
      <c r="A83" s="168">
        <f t="shared" ref="A83:A146" si="13">IF(Valeurs_Entrées,A82+1,"")</f>
        <v>66</v>
      </c>
      <c r="B83" s="169">
        <f t="shared" si="9"/>
        <v>48030</v>
      </c>
      <c r="C83" s="170">
        <f t="shared" ref="C83:C146" si="14">IF(Nbre_Pmt&lt;&gt;"",I82,"")</f>
        <v>125144.09211270895</v>
      </c>
      <c r="D83" s="170">
        <f t="shared" si="8"/>
        <v>2460.4526655071218</v>
      </c>
      <c r="E83" s="171">
        <f t="shared" si="10"/>
        <v>0</v>
      </c>
      <c r="F83" s="170">
        <f t="shared" si="11"/>
        <v>2460.4526655071218</v>
      </c>
      <c r="G83" s="170">
        <f t="shared" ref="G83:G146" si="15">IF(Nbre_Pmt&lt;&gt;"",Pmt_Total-Ent,"")</f>
        <v>2105.8777378544464</v>
      </c>
      <c r="H83" s="170">
        <f t="shared" ref="H83:H146" si="16">IF(Nbre_Pmt&lt;&gt;"",Solde_Départ*Taux_Intérêt/Nbre_Pmt_Par_An,"")</f>
        <v>354.5749276526754</v>
      </c>
      <c r="I83" s="170">
        <f t="shared" si="12"/>
        <v>123038.21437485451</v>
      </c>
      <c r="J83" s="170">
        <f>SUM($H$18:$H83)</f>
        <v>35428.090298324641</v>
      </c>
    </row>
    <row r="84" spans="1:10" x14ac:dyDescent="0.3">
      <c r="A84" s="168">
        <f t="shared" si="13"/>
        <v>67</v>
      </c>
      <c r="B84" s="169">
        <f t="shared" si="9"/>
        <v>48061</v>
      </c>
      <c r="C84" s="170">
        <f t="shared" si="14"/>
        <v>123038.21437485451</v>
      </c>
      <c r="D84" s="170">
        <f t="shared" ref="D84:D147" si="17">IF(Nbre_Pmt&lt;&gt;"",Pmt_Mensuel_Programmé,"")</f>
        <v>2460.4526655071218</v>
      </c>
      <c r="E84" s="171">
        <f t="shared" si="10"/>
        <v>0</v>
      </c>
      <c r="F84" s="170">
        <f t="shared" si="11"/>
        <v>2460.4526655071218</v>
      </c>
      <c r="G84" s="170">
        <f t="shared" si="15"/>
        <v>2111.844391445034</v>
      </c>
      <c r="H84" s="170">
        <f t="shared" si="16"/>
        <v>348.60827406208779</v>
      </c>
      <c r="I84" s="170">
        <f t="shared" si="12"/>
        <v>120926.36998340947</v>
      </c>
      <c r="J84" s="170">
        <f>SUM($H$18:$H84)</f>
        <v>35776.698572386733</v>
      </c>
    </row>
    <row r="85" spans="1:10" x14ac:dyDescent="0.3">
      <c r="A85" s="168">
        <f t="shared" si="13"/>
        <v>68</v>
      </c>
      <c r="B85" s="169">
        <f t="shared" si="9"/>
        <v>48092</v>
      </c>
      <c r="C85" s="170">
        <f t="shared" si="14"/>
        <v>120926.36998340947</v>
      </c>
      <c r="D85" s="170">
        <f t="shared" si="17"/>
        <v>2460.4526655071218</v>
      </c>
      <c r="E85" s="171">
        <f t="shared" si="10"/>
        <v>0</v>
      </c>
      <c r="F85" s="170">
        <f t="shared" si="11"/>
        <v>2460.4526655071218</v>
      </c>
      <c r="G85" s="170">
        <f t="shared" si="15"/>
        <v>2117.8279505541282</v>
      </c>
      <c r="H85" s="170">
        <f t="shared" si="16"/>
        <v>342.62471495299354</v>
      </c>
      <c r="I85" s="170">
        <f t="shared" si="12"/>
        <v>118808.54203285534</v>
      </c>
      <c r="J85" s="170">
        <f>SUM($H$18:$H85)</f>
        <v>36119.323287339728</v>
      </c>
    </row>
    <row r="86" spans="1:10" x14ac:dyDescent="0.3">
      <c r="A86" s="168">
        <f t="shared" si="13"/>
        <v>69</v>
      </c>
      <c r="B86" s="169">
        <f t="shared" si="9"/>
        <v>48122</v>
      </c>
      <c r="C86" s="170">
        <f t="shared" si="14"/>
        <v>118808.54203285534</v>
      </c>
      <c r="D86" s="170">
        <f t="shared" si="17"/>
        <v>2460.4526655071218</v>
      </c>
      <c r="E86" s="171">
        <f t="shared" si="10"/>
        <v>0</v>
      </c>
      <c r="F86" s="170">
        <f t="shared" si="11"/>
        <v>2460.4526655071218</v>
      </c>
      <c r="G86" s="170">
        <f t="shared" si="15"/>
        <v>2123.8284630806984</v>
      </c>
      <c r="H86" s="170">
        <f t="shared" si="16"/>
        <v>336.62420242642349</v>
      </c>
      <c r="I86" s="170">
        <f t="shared" si="12"/>
        <v>116684.71356977464</v>
      </c>
      <c r="J86" s="170">
        <f>SUM($H$18:$H86)</f>
        <v>36455.947489766149</v>
      </c>
    </row>
    <row r="87" spans="1:10" x14ac:dyDescent="0.3">
      <c r="A87" s="168">
        <f t="shared" si="13"/>
        <v>70</v>
      </c>
      <c r="B87" s="169">
        <f t="shared" si="9"/>
        <v>48153</v>
      </c>
      <c r="C87" s="170">
        <f t="shared" si="14"/>
        <v>116684.71356977464</v>
      </c>
      <c r="D87" s="170">
        <f t="shared" si="17"/>
        <v>2460.4526655071218</v>
      </c>
      <c r="E87" s="171">
        <f t="shared" si="10"/>
        <v>0</v>
      </c>
      <c r="F87" s="170">
        <f t="shared" si="11"/>
        <v>2460.4526655071218</v>
      </c>
      <c r="G87" s="170">
        <f t="shared" si="15"/>
        <v>2129.8459770594268</v>
      </c>
      <c r="H87" s="170">
        <f t="shared" si="16"/>
        <v>330.60668844769481</v>
      </c>
      <c r="I87" s="170">
        <f t="shared" si="12"/>
        <v>114554.86759271522</v>
      </c>
      <c r="J87" s="170">
        <f>SUM($H$18:$H87)</f>
        <v>36786.554178213846</v>
      </c>
    </row>
    <row r="88" spans="1:10" x14ac:dyDescent="0.3">
      <c r="A88" s="168">
        <f t="shared" si="13"/>
        <v>71</v>
      </c>
      <c r="B88" s="169">
        <f t="shared" si="9"/>
        <v>48183</v>
      </c>
      <c r="C88" s="170">
        <f t="shared" si="14"/>
        <v>114554.86759271522</v>
      </c>
      <c r="D88" s="170">
        <f t="shared" si="17"/>
        <v>2460.4526655071218</v>
      </c>
      <c r="E88" s="171">
        <f t="shared" si="10"/>
        <v>0</v>
      </c>
      <c r="F88" s="170">
        <f t="shared" si="11"/>
        <v>2460.4526655071218</v>
      </c>
      <c r="G88" s="170">
        <f t="shared" si="15"/>
        <v>2135.8805406610954</v>
      </c>
      <c r="H88" s="170">
        <f t="shared" si="16"/>
        <v>324.5721248460265</v>
      </c>
      <c r="I88" s="170">
        <f t="shared" si="12"/>
        <v>112418.98705205413</v>
      </c>
      <c r="J88" s="170">
        <f>SUM($H$18:$H88)</f>
        <v>37111.126303059871</v>
      </c>
    </row>
    <row r="89" spans="1:10" x14ac:dyDescent="0.3">
      <c r="A89" s="168">
        <f t="shared" si="13"/>
        <v>72</v>
      </c>
      <c r="B89" s="169">
        <f t="shared" si="9"/>
        <v>48214</v>
      </c>
      <c r="C89" s="170">
        <f t="shared" si="14"/>
        <v>112418.98705205413</v>
      </c>
      <c r="D89" s="170">
        <f t="shared" si="17"/>
        <v>2460.4526655071218</v>
      </c>
      <c r="E89" s="171">
        <f t="shared" si="10"/>
        <v>0</v>
      </c>
      <c r="F89" s="170">
        <f t="shared" si="11"/>
        <v>2460.4526655071218</v>
      </c>
      <c r="G89" s="170">
        <f t="shared" si="15"/>
        <v>2141.9322021929684</v>
      </c>
      <c r="H89" s="170">
        <f t="shared" si="16"/>
        <v>318.5204633141534</v>
      </c>
      <c r="I89" s="170">
        <f t="shared" si="12"/>
        <v>110277.05484986116</v>
      </c>
      <c r="J89" s="170">
        <f>SUM($H$18:$H89)</f>
        <v>37429.646766374026</v>
      </c>
    </row>
    <row r="90" spans="1:10" x14ac:dyDescent="0.3">
      <c r="A90" s="168">
        <f t="shared" si="13"/>
        <v>73</v>
      </c>
      <c r="B90" s="169">
        <f t="shared" si="9"/>
        <v>48245</v>
      </c>
      <c r="C90" s="170">
        <f t="shared" si="14"/>
        <v>110277.05484986116</v>
      </c>
      <c r="D90" s="170">
        <f t="shared" si="17"/>
        <v>2460.4526655071218</v>
      </c>
      <c r="E90" s="171">
        <f t="shared" si="10"/>
        <v>0</v>
      </c>
      <c r="F90" s="170">
        <f t="shared" si="11"/>
        <v>2460.4526655071218</v>
      </c>
      <c r="G90" s="170">
        <f t="shared" si="15"/>
        <v>2148.0010100991817</v>
      </c>
      <c r="H90" s="170">
        <f t="shared" si="16"/>
        <v>312.45165540794</v>
      </c>
      <c r="I90" s="170">
        <f t="shared" si="12"/>
        <v>108129.05383976198</v>
      </c>
      <c r="J90" s="170">
        <f>SUM($H$18:$H90)</f>
        <v>37742.098421781964</v>
      </c>
    </row>
    <row r="91" spans="1:10" x14ac:dyDescent="0.3">
      <c r="A91" s="168">
        <f t="shared" si="13"/>
        <v>74</v>
      </c>
      <c r="B91" s="169">
        <f t="shared" si="9"/>
        <v>48274</v>
      </c>
      <c r="C91" s="170">
        <f t="shared" si="14"/>
        <v>108129.05383976198</v>
      </c>
      <c r="D91" s="170">
        <f t="shared" si="17"/>
        <v>2460.4526655071218</v>
      </c>
      <c r="E91" s="171">
        <f t="shared" si="10"/>
        <v>0</v>
      </c>
      <c r="F91" s="170">
        <f t="shared" si="11"/>
        <v>2460.4526655071218</v>
      </c>
      <c r="G91" s="170">
        <f t="shared" si="15"/>
        <v>2154.0870129611294</v>
      </c>
      <c r="H91" s="170">
        <f t="shared" si="16"/>
        <v>306.3656525459923</v>
      </c>
      <c r="I91" s="170">
        <f t="shared" si="12"/>
        <v>105974.96682680085</v>
      </c>
      <c r="J91" s="170">
        <f>SUM($H$18:$H91)</f>
        <v>38048.46407432796</v>
      </c>
    </row>
    <row r="92" spans="1:10" x14ac:dyDescent="0.3">
      <c r="A92" s="168">
        <f t="shared" si="13"/>
        <v>75</v>
      </c>
      <c r="B92" s="169">
        <f t="shared" si="9"/>
        <v>48305</v>
      </c>
      <c r="C92" s="170">
        <f t="shared" si="14"/>
        <v>105974.96682680085</v>
      </c>
      <c r="D92" s="170">
        <f t="shared" si="17"/>
        <v>2460.4526655071218</v>
      </c>
      <c r="E92" s="171">
        <f t="shared" si="10"/>
        <v>0</v>
      </c>
      <c r="F92" s="170">
        <f t="shared" si="11"/>
        <v>2460.4526655071218</v>
      </c>
      <c r="G92" s="170">
        <f t="shared" si="15"/>
        <v>2160.1902594978528</v>
      </c>
      <c r="H92" s="170">
        <f t="shared" si="16"/>
        <v>300.26240600926911</v>
      </c>
      <c r="I92" s="170">
        <f t="shared" si="12"/>
        <v>103814.77656730299</v>
      </c>
      <c r="J92" s="170">
        <f>SUM($H$18:$H92)</f>
        <v>38348.726480337231</v>
      </c>
    </row>
    <row r="93" spans="1:10" x14ac:dyDescent="0.3">
      <c r="A93" s="168">
        <f t="shared" si="13"/>
        <v>76</v>
      </c>
      <c r="B93" s="169">
        <f t="shared" si="9"/>
        <v>48335</v>
      </c>
      <c r="C93" s="170">
        <f t="shared" si="14"/>
        <v>103814.77656730299</v>
      </c>
      <c r="D93" s="170">
        <f t="shared" si="17"/>
        <v>2460.4526655071218</v>
      </c>
      <c r="E93" s="171">
        <f t="shared" si="10"/>
        <v>0</v>
      </c>
      <c r="F93" s="170">
        <f t="shared" si="11"/>
        <v>2460.4526655071218</v>
      </c>
      <c r="G93" s="170">
        <f t="shared" si="15"/>
        <v>2166.3107985664301</v>
      </c>
      <c r="H93" s="170">
        <f t="shared" si="16"/>
        <v>294.14186694069184</v>
      </c>
      <c r="I93" s="170">
        <f t="shared" si="12"/>
        <v>101648.46576873657</v>
      </c>
      <c r="J93" s="170">
        <f>SUM($H$18:$H93)</f>
        <v>38642.868347277923</v>
      </c>
    </row>
    <row r="94" spans="1:10" x14ac:dyDescent="0.3">
      <c r="A94" s="168">
        <f t="shared" si="13"/>
        <v>77</v>
      </c>
      <c r="B94" s="169">
        <f t="shared" si="9"/>
        <v>48366</v>
      </c>
      <c r="C94" s="170">
        <f t="shared" si="14"/>
        <v>101648.46576873657</v>
      </c>
      <c r="D94" s="170">
        <f t="shared" si="17"/>
        <v>2460.4526655071218</v>
      </c>
      <c r="E94" s="171">
        <f t="shared" si="10"/>
        <v>0</v>
      </c>
      <c r="F94" s="170">
        <f t="shared" si="11"/>
        <v>2460.4526655071218</v>
      </c>
      <c r="G94" s="170">
        <f t="shared" si="15"/>
        <v>2172.4486791623681</v>
      </c>
      <c r="H94" s="170">
        <f t="shared" si="16"/>
        <v>288.00398634475363</v>
      </c>
      <c r="I94" s="170">
        <f t="shared" si="12"/>
        <v>99476.017089574205</v>
      </c>
      <c r="J94" s="170">
        <f>SUM($H$18:$H94)</f>
        <v>38930.872333622676</v>
      </c>
    </row>
    <row r="95" spans="1:10" x14ac:dyDescent="0.3">
      <c r="A95" s="168">
        <f t="shared" si="13"/>
        <v>78</v>
      </c>
      <c r="B95" s="169">
        <f t="shared" si="9"/>
        <v>48396</v>
      </c>
      <c r="C95" s="170">
        <f t="shared" si="14"/>
        <v>99476.017089574205</v>
      </c>
      <c r="D95" s="170">
        <f t="shared" si="17"/>
        <v>2460.4526655071218</v>
      </c>
      <c r="E95" s="171">
        <f t="shared" si="10"/>
        <v>0</v>
      </c>
      <c r="F95" s="170">
        <f t="shared" si="11"/>
        <v>2460.4526655071218</v>
      </c>
      <c r="G95" s="170">
        <f t="shared" si="15"/>
        <v>2178.6039504199948</v>
      </c>
      <c r="H95" s="170">
        <f t="shared" si="16"/>
        <v>281.84871508712695</v>
      </c>
      <c r="I95" s="170">
        <f t="shared" si="12"/>
        <v>97297.413139154203</v>
      </c>
      <c r="J95" s="170">
        <f>SUM($H$18:$H95)</f>
        <v>39212.721048709805</v>
      </c>
    </row>
    <row r="96" spans="1:10" x14ac:dyDescent="0.3">
      <c r="A96" s="168">
        <f t="shared" si="13"/>
        <v>79</v>
      </c>
      <c r="B96" s="169">
        <f t="shared" si="9"/>
        <v>48427</v>
      </c>
      <c r="C96" s="170">
        <f t="shared" si="14"/>
        <v>97297.413139154203</v>
      </c>
      <c r="D96" s="170">
        <f t="shared" si="17"/>
        <v>2460.4526655071218</v>
      </c>
      <c r="E96" s="171">
        <f t="shared" si="10"/>
        <v>0</v>
      </c>
      <c r="F96" s="170">
        <f t="shared" si="11"/>
        <v>2460.4526655071218</v>
      </c>
      <c r="G96" s="170">
        <f t="shared" si="15"/>
        <v>2184.7766616128515</v>
      </c>
      <c r="H96" s="170">
        <f t="shared" si="16"/>
        <v>275.67600389427025</v>
      </c>
      <c r="I96" s="170">
        <f t="shared" si="12"/>
        <v>95112.636477541353</v>
      </c>
      <c r="J96" s="170">
        <f>SUM($H$18:$H96)</f>
        <v>39488.397052604079</v>
      </c>
    </row>
    <row r="97" spans="1:10" x14ac:dyDescent="0.3">
      <c r="A97" s="168">
        <f t="shared" si="13"/>
        <v>80</v>
      </c>
      <c r="B97" s="169">
        <f t="shared" si="9"/>
        <v>48458</v>
      </c>
      <c r="C97" s="170">
        <f t="shared" si="14"/>
        <v>95112.636477541353</v>
      </c>
      <c r="D97" s="170">
        <f t="shared" si="17"/>
        <v>2460.4526655071218</v>
      </c>
      <c r="E97" s="171">
        <f t="shared" si="10"/>
        <v>0</v>
      </c>
      <c r="F97" s="170">
        <f t="shared" si="11"/>
        <v>2460.4526655071218</v>
      </c>
      <c r="G97" s="170">
        <f t="shared" si="15"/>
        <v>2190.9668621540877</v>
      </c>
      <c r="H97" s="170">
        <f t="shared" si="16"/>
        <v>269.48580335303387</v>
      </c>
      <c r="I97" s="170">
        <f t="shared" si="12"/>
        <v>92921.669615387262</v>
      </c>
      <c r="J97" s="170">
        <f>SUM($H$18:$H97)</f>
        <v>39757.882855957112</v>
      </c>
    </row>
    <row r="98" spans="1:10" x14ac:dyDescent="0.3">
      <c r="A98" s="168">
        <f t="shared" si="13"/>
        <v>81</v>
      </c>
      <c r="B98" s="169">
        <f t="shared" si="9"/>
        <v>48488</v>
      </c>
      <c r="C98" s="170">
        <f t="shared" si="14"/>
        <v>92921.669615387262</v>
      </c>
      <c r="D98" s="170">
        <f t="shared" si="17"/>
        <v>2460.4526655071218</v>
      </c>
      <c r="E98" s="171">
        <f t="shared" si="10"/>
        <v>0</v>
      </c>
      <c r="F98" s="170">
        <f t="shared" si="11"/>
        <v>2460.4526655071218</v>
      </c>
      <c r="G98" s="170">
        <f t="shared" si="15"/>
        <v>2197.1746015968579</v>
      </c>
      <c r="H98" s="170">
        <f t="shared" si="16"/>
        <v>263.27806391026394</v>
      </c>
      <c r="I98" s="170">
        <f t="shared" si="12"/>
        <v>90724.495013790409</v>
      </c>
      <c r="J98" s="170">
        <f>SUM($H$18:$H98)</f>
        <v>40021.160919867376</v>
      </c>
    </row>
    <row r="99" spans="1:10" x14ac:dyDescent="0.3">
      <c r="A99" s="168">
        <f t="shared" si="13"/>
        <v>82</v>
      </c>
      <c r="B99" s="169">
        <f t="shared" si="9"/>
        <v>48519</v>
      </c>
      <c r="C99" s="170">
        <f t="shared" si="14"/>
        <v>90724.495013790409</v>
      </c>
      <c r="D99" s="170">
        <f t="shared" si="17"/>
        <v>2460.4526655071218</v>
      </c>
      <c r="E99" s="171">
        <f t="shared" si="10"/>
        <v>0</v>
      </c>
      <c r="F99" s="170">
        <f t="shared" si="11"/>
        <v>2460.4526655071218</v>
      </c>
      <c r="G99" s="170">
        <f t="shared" si="15"/>
        <v>2203.3999296347156</v>
      </c>
      <c r="H99" s="170">
        <f t="shared" si="16"/>
        <v>257.05273587240617</v>
      </c>
      <c r="I99" s="170">
        <f t="shared" si="12"/>
        <v>88521.095084155691</v>
      </c>
      <c r="J99" s="170">
        <f>SUM($H$18:$H99)</f>
        <v>40278.213655739783</v>
      </c>
    </row>
    <row r="100" spans="1:10" x14ac:dyDescent="0.3">
      <c r="A100" s="168">
        <f t="shared" si="13"/>
        <v>83</v>
      </c>
      <c r="B100" s="169">
        <f t="shared" si="9"/>
        <v>48549</v>
      </c>
      <c r="C100" s="170">
        <f t="shared" si="14"/>
        <v>88521.095084155691</v>
      </c>
      <c r="D100" s="170">
        <f t="shared" si="17"/>
        <v>2460.4526655071218</v>
      </c>
      <c r="E100" s="171">
        <f t="shared" si="10"/>
        <v>0</v>
      </c>
      <c r="F100" s="170">
        <f t="shared" si="11"/>
        <v>2460.4526655071218</v>
      </c>
      <c r="G100" s="170">
        <f t="shared" si="15"/>
        <v>2209.6428961020138</v>
      </c>
      <c r="H100" s="170">
        <f t="shared" si="16"/>
        <v>250.8097694051078</v>
      </c>
      <c r="I100" s="170">
        <f t="shared" si="12"/>
        <v>86311.452188053678</v>
      </c>
      <c r="J100" s="170">
        <f>SUM($H$18:$H100)</f>
        <v>40529.023425144893</v>
      </c>
    </row>
    <row r="101" spans="1:10" x14ac:dyDescent="0.3">
      <c r="A101" s="168">
        <f t="shared" si="13"/>
        <v>84</v>
      </c>
      <c r="B101" s="169">
        <f t="shared" si="9"/>
        <v>48580</v>
      </c>
      <c r="C101" s="170">
        <f t="shared" si="14"/>
        <v>86311.452188053678</v>
      </c>
      <c r="D101" s="170">
        <f t="shared" si="17"/>
        <v>2460.4526655071218</v>
      </c>
      <c r="E101" s="171">
        <f t="shared" si="10"/>
        <v>0</v>
      </c>
      <c r="F101" s="170">
        <f t="shared" si="11"/>
        <v>2460.4526655071218</v>
      </c>
      <c r="G101" s="170">
        <f t="shared" si="15"/>
        <v>2215.903550974303</v>
      </c>
      <c r="H101" s="170">
        <f t="shared" si="16"/>
        <v>244.54911453281878</v>
      </c>
      <c r="I101" s="170">
        <f t="shared" si="12"/>
        <v>84095.548637079381</v>
      </c>
      <c r="J101" s="170">
        <f>SUM($H$18:$H101)</f>
        <v>40773.572539677712</v>
      </c>
    </row>
    <row r="102" spans="1:10" x14ac:dyDescent="0.3">
      <c r="A102" s="168">
        <f t="shared" si="13"/>
        <v>85</v>
      </c>
      <c r="B102" s="169">
        <f t="shared" si="9"/>
        <v>48611</v>
      </c>
      <c r="C102" s="170">
        <f t="shared" si="14"/>
        <v>84095.548637079381</v>
      </c>
      <c r="D102" s="170">
        <f t="shared" si="17"/>
        <v>2460.4526655071218</v>
      </c>
      <c r="E102" s="171">
        <f t="shared" si="10"/>
        <v>0</v>
      </c>
      <c r="F102" s="170">
        <f t="shared" si="11"/>
        <v>2460.4526655071218</v>
      </c>
      <c r="G102" s="170">
        <f t="shared" si="15"/>
        <v>2222.18194436873</v>
      </c>
      <c r="H102" s="170">
        <f t="shared" si="16"/>
        <v>238.27072113839162</v>
      </c>
      <c r="I102" s="170">
        <f t="shared" si="12"/>
        <v>81873.366692710653</v>
      </c>
      <c r="J102" s="170">
        <f>SUM($H$18:$H102)</f>
        <v>41011.843260816102</v>
      </c>
    </row>
    <row r="103" spans="1:10" x14ac:dyDescent="0.3">
      <c r="A103" s="168">
        <f t="shared" si="13"/>
        <v>86</v>
      </c>
      <c r="B103" s="169">
        <f t="shared" si="9"/>
        <v>48639</v>
      </c>
      <c r="C103" s="170">
        <f t="shared" si="14"/>
        <v>81873.366692710653</v>
      </c>
      <c r="D103" s="170">
        <f t="shared" si="17"/>
        <v>2460.4526655071218</v>
      </c>
      <c r="E103" s="171">
        <f t="shared" si="10"/>
        <v>0</v>
      </c>
      <c r="F103" s="170">
        <f t="shared" si="11"/>
        <v>2460.4526655071218</v>
      </c>
      <c r="G103" s="170">
        <f t="shared" si="15"/>
        <v>2228.4781265444417</v>
      </c>
      <c r="H103" s="170">
        <f t="shared" si="16"/>
        <v>231.97453896268019</v>
      </c>
      <c r="I103" s="170">
        <f t="shared" si="12"/>
        <v>79644.888566166206</v>
      </c>
      <c r="J103" s="170">
        <f>SUM($H$18:$H103)</f>
        <v>41243.817799778779</v>
      </c>
    </row>
    <row r="104" spans="1:10" x14ac:dyDescent="0.3">
      <c r="A104" s="168">
        <f t="shared" si="13"/>
        <v>87</v>
      </c>
      <c r="B104" s="169">
        <f t="shared" si="9"/>
        <v>48670</v>
      </c>
      <c r="C104" s="170">
        <f t="shared" si="14"/>
        <v>79644.888566166206</v>
      </c>
      <c r="D104" s="170">
        <f t="shared" si="17"/>
        <v>2460.4526655071218</v>
      </c>
      <c r="E104" s="171">
        <f t="shared" si="10"/>
        <v>0</v>
      </c>
      <c r="F104" s="170">
        <f t="shared" si="11"/>
        <v>2460.4526655071218</v>
      </c>
      <c r="G104" s="170">
        <f t="shared" si="15"/>
        <v>2234.7921479029842</v>
      </c>
      <c r="H104" s="170">
        <f t="shared" si="16"/>
        <v>225.6605176041376</v>
      </c>
      <c r="I104" s="170">
        <f t="shared" si="12"/>
        <v>77410.096418263216</v>
      </c>
      <c r="J104" s="170">
        <f>SUM($H$18:$H104)</f>
        <v>41469.47831738292</v>
      </c>
    </row>
    <row r="105" spans="1:10" x14ac:dyDescent="0.3">
      <c r="A105" s="168">
        <f t="shared" si="13"/>
        <v>88</v>
      </c>
      <c r="B105" s="169">
        <f t="shared" si="9"/>
        <v>48700</v>
      </c>
      <c r="C105" s="170">
        <f t="shared" si="14"/>
        <v>77410.096418263216</v>
      </c>
      <c r="D105" s="170">
        <f t="shared" si="17"/>
        <v>2460.4526655071218</v>
      </c>
      <c r="E105" s="171">
        <f t="shared" si="10"/>
        <v>0</v>
      </c>
      <c r="F105" s="170">
        <f t="shared" si="11"/>
        <v>2460.4526655071218</v>
      </c>
      <c r="G105" s="170">
        <f t="shared" si="15"/>
        <v>2241.1240589887093</v>
      </c>
      <c r="H105" s="170">
        <f t="shared" si="16"/>
        <v>219.32860651841247</v>
      </c>
      <c r="I105" s="170">
        <f t="shared" si="12"/>
        <v>75168.972359274514</v>
      </c>
      <c r="J105" s="170">
        <f>SUM($H$18:$H105)</f>
        <v>41688.806923901335</v>
      </c>
    </row>
    <row r="106" spans="1:10" x14ac:dyDescent="0.3">
      <c r="A106" s="168">
        <f t="shared" si="13"/>
        <v>89</v>
      </c>
      <c r="B106" s="169">
        <f t="shared" si="9"/>
        <v>48731</v>
      </c>
      <c r="C106" s="170">
        <f t="shared" si="14"/>
        <v>75168.972359274514</v>
      </c>
      <c r="D106" s="170">
        <f t="shared" si="17"/>
        <v>2460.4526655071218</v>
      </c>
      <c r="E106" s="171">
        <f t="shared" si="10"/>
        <v>0</v>
      </c>
      <c r="F106" s="170">
        <f t="shared" si="11"/>
        <v>2460.4526655071218</v>
      </c>
      <c r="G106" s="170">
        <f t="shared" si="15"/>
        <v>2247.4739104891773</v>
      </c>
      <c r="H106" s="170">
        <f t="shared" si="16"/>
        <v>212.97875501794445</v>
      </c>
      <c r="I106" s="170">
        <f t="shared" si="12"/>
        <v>72921.498448785336</v>
      </c>
      <c r="J106" s="170">
        <f>SUM($H$18:$H106)</f>
        <v>41901.785678919281</v>
      </c>
    </row>
    <row r="107" spans="1:10" x14ac:dyDescent="0.3">
      <c r="A107" s="168">
        <f t="shared" si="13"/>
        <v>90</v>
      </c>
      <c r="B107" s="169">
        <f t="shared" si="9"/>
        <v>48761</v>
      </c>
      <c r="C107" s="170">
        <f t="shared" si="14"/>
        <v>72921.498448785336</v>
      </c>
      <c r="D107" s="170">
        <f t="shared" si="17"/>
        <v>2460.4526655071218</v>
      </c>
      <c r="E107" s="171">
        <f t="shared" si="10"/>
        <v>0</v>
      </c>
      <c r="F107" s="170">
        <f t="shared" si="11"/>
        <v>2460.4526655071218</v>
      </c>
      <c r="G107" s="170">
        <f t="shared" si="15"/>
        <v>2253.8417532355634</v>
      </c>
      <c r="H107" s="170">
        <f t="shared" si="16"/>
        <v>206.61091227155848</v>
      </c>
      <c r="I107" s="170">
        <f t="shared" si="12"/>
        <v>70667.656695549769</v>
      </c>
      <c r="J107" s="170">
        <f>SUM($H$18:$H107)</f>
        <v>42108.396591190838</v>
      </c>
    </row>
    <row r="108" spans="1:10" x14ac:dyDescent="0.3">
      <c r="A108" s="168">
        <f t="shared" si="13"/>
        <v>91</v>
      </c>
      <c r="B108" s="169">
        <f t="shared" si="9"/>
        <v>48792</v>
      </c>
      <c r="C108" s="170">
        <f t="shared" si="14"/>
        <v>70667.656695549769</v>
      </c>
      <c r="D108" s="170">
        <f t="shared" si="17"/>
        <v>2460.4526655071218</v>
      </c>
      <c r="E108" s="171">
        <f t="shared" si="10"/>
        <v>0</v>
      </c>
      <c r="F108" s="170">
        <f t="shared" si="11"/>
        <v>2460.4526655071218</v>
      </c>
      <c r="G108" s="170">
        <f t="shared" si="15"/>
        <v>2260.2276382030641</v>
      </c>
      <c r="H108" s="170">
        <f t="shared" si="16"/>
        <v>200.22502730405768</v>
      </c>
      <c r="I108" s="170">
        <f t="shared" si="12"/>
        <v>68407.429057346701</v>
      </c>
      <c r="J108" s="170">
        <f>SUM($H$18:$H108)</f>
        <v>42308.621618494893</v>
      </c>
    </row>
    <row r="109" spans="1:10" x14ac:dyDescent="0.3">
      <c r="A109" s="168">
        <f t="shared" si="13"/>
        <v>92</v>
      </c>
      <c r="B109" s="169">
        <f t="shared" si="9"/>
        <v>48823</v>
      </c>
      <c r="C109" s="170">
        <f t="shared" si="14"/>
        <v>68407.429057346701</v>
      </c>
      <c r="D109" s="170">
        <f t="shared" si="17"/>
        <v>2460.4526655071218</v>
      </c>
      <c r="E109" s="171">
        <f t="shared" si="10"/>
        <v>0</v>
      </c>
      <c r="F109" s="170">
        <f t="shared" si="11"/>
        <v>2460.4526655071218</v>
      </c>
      <c r="G109" s="170">
        <f t="shared" si="15"/>
        <v>2266.6316165113062</v>
      </c>
      <c r="H109" s="170">
        <f t="shared" si="16"/>
        <v>193.82104899581566</v>
      </c>
      <c r="I109" s="170">
        <f t="shared" si="12"/>
        <v>66140.797440835391</v>
      </c>
      <c r="J109" s="170">
        <f>SUM($H$18:$H109)</f>
        <v>42502.442667490708</v>
      </c>
    </row>
    <row r="110" spans="1:10" x14ac:dyDescent="0.3">
      <c r="A110" s="168">
        <f t="shared" si="13"/>
        <v>93</v>
      </c>
      <c r="B110" s="169">
        <f t="shared" si="9"/>
        <v>48853</v>
      </c>
      <c r="C110" s="170">
        <f t="shared" si="14"/>
        <v>66140.797440835391</v>
      </c>
      <c r="D110" s="170">
        <f t="shared" si="17"/>
        <v>2460.4526655071218</v>
      </c>
      <c r="E110" s="171">
        <f t="shared" si="10"/>
        <v>0</v>
      </c>
      <c r="F110" s="170">
        <f t="shared" si="11"/>
        <v>2460.4526655071218</v>
      </c>
      <c r="G110" s="170">
        <f t="shared" si="15"/>
        <v>2273.0537394247549</v>
      </c>
      <c r="H110" s="170">
        <f t="shared" si="16"/>
        <v>187.39892608236696</v>
      </c>
      <c r="I110" s="170">
        <f t="shared" si="12"/>
        <v>63867.74370141064</v>
      </c>
      <c r="J110" s="170">
        <f>SUM($H$18:$H110)</f>
        <v>42689.841593573074</v>
      </c>
    </row>
    <row r="111" spans="1:10" x14ac:dyDescent="0.3">
      <c r="A111" s="168">
        <f t="shared" si="13"/>
        <v>94</v>
      </c>
      <c r="B111" s="169">
        <f t="shared" si="9"/>
        <v>48884</v>
      </c>
      <c r="C111" s="170">
        <f t="shared" si="14"/>
        <v>63867.74370141064</v>
      </c>
      <c r="D111" s="170">
        <f t="shared" si="17"/>
        <v>2460.4526655071218</v>
      </c>
      <c r="E111" s="171">
        <f t="shared" si="10"/>
        <v>0</v>
      </c>
      <c r="F111" s="170">
        <f t="shared" si="11"/>
        <v>2460.4526655071218</v>
      </c>
      <c r="G111" s="170">
        <f t="shared" si="15"/>
        <v>2279.4940583531252</v>
      </c>
      <c r="H111" s="170">
        <f t="shared" si="16"/>
        <v>180.95860715399681</v>
      </c>
      <c r="I111" s="170">
        <f t="shared" si="12"/>
        <v>61588.249643057512</v>
      </c>
      <c r="J111" s="170">
        <f>SUM($H$18:$H111)</f>
        <v>42870.80020072707</v>
      </c>
    </row>
    <row r="112" spans="1:10" x14ac:dyDescent="0.3">
      <c r="A112" s="168">
        <f t="shared" si="13"/>
        <v>95</v>
      </c>
      <c r="B112" s="169">
        <f t="shared" si="9"/>
        <v>48914</v>
      </c>
      <c r="C112" s="170">
        <f t="shared" si="14"/>
        <v>61588.249643057512</v>
      </c>
      <c r="D112" s="170">
        <f t="shared" si="17"/>
        <v>2460.4526655071218</v>
      </c>
      <c r="E112" s="171">
        <f t="shared" si="10"/>
        <v>0</v>
      </c>
      <c r="F112" s="170">
        <f t="shared" si="11"/>
        <v>2460.4526655071218</v>
      </c>
      <c r="G112" s="170">
        <f t="shared" si="15"/>
        <v>2285.9526248517923</v>
      </c>
      <c r="H112" s="170">
        <f t="shared" si="16"/>
        <v>174.50004065532963</v>
      </c>
      <c r="I112" s="170">
        <f t="shared" si="12"/>
        <v>59302.297018205718</v>
      </c>
      <c r="J112" s="170">
        <f>SUM($H$18:$H112)</f>
        <v>43045.3002413824</v>
      </c>
    </row>
    <row r="113" spans="1:10" x14ac:dyDescent="0.3">
      <c r="A113" s="168">
        <f t="shared" si="13"/>
        <v>96</v>
      </c>
      <c r="B113" s="169">
        <f t="shared" si="9"/>
        <v>48945</v>
      </c>
      <c r="C113" s="170">
        <f t="shared" si="14"/>
        <v>59302.297018205718</v>
      </c>
      <c r="D113" s="170">
        <f t="shared" si="17"/>
        <v>2460.4526655071218</v>
      </c>
      <c r="E113" s="171">
        <f t="shared" si="10"/>
        <v>0</v>
      </c>
      <c r="F113" s="170">
        <f t="shared" si="11"/>
        <v>2460.4526655071218</v>
      </c>
      <c r="G113" s="170">
        <f t="shared" si="15"/>
        <v>2292.4294906222058</v>
      </c>
      <c r="H113" s="170">
        <f t="shared" si="16"/>
        <v>168.02317488491622</v>
      </c>
      <c r="I113" s="170">
        <f t="shared" si="12"/>
        <v>57009.867527583512</v>
      </c>
      <c r="J113" s="170">
        <f>SUM($H$18:$H113)</f>
        <v>43213.323416267318</v>
      </c>
    </row>
    <row r="114" spans="1:10" x14ac:dyDescent="0.3">
      <c r="A114" s="168">
        <f t="shared" si="13"/>
        <v>97</v>
      </c>
      <c r="B114" s="169">
        <f t="shared" si="9"/>
        <v>48976</v>
      </c>
      <c r="C114" s="170">
        <f t="shared" si="14"/>
        <v>57009.867527583512</v>
      </c>
      <c r="D114" s="170">
        <f t="shared" si="17"/>
        <v>2460.4526655071218</v>
      </c>
      <c r="E114" s="171">
        <f t="shared" si="10"/>
        <v>0</v>
      </c>
      <c r="F114" s="170">
        <f t="shared" si="11"/>
        <v>2460.4526655071218</v>
      </c>
      <c r="G114" s="170">
        <f t="shared" si="15"/>
        <v>2298.9247075123017</v>
      </c>
      <c r="H114" s="170">
        <f t="shared" si="16"/>
        <v>161.52795799481996</v>
      </c>
      <c r="I114" s="170">
        <f t="shared" si="12"/>
        <v>54710.942820071214</v>
      </c>
      <c r="J114" s="170">
        <f>SUM($H$18:$H114)</f>
        <v>43374.851374262136</v>
      </c>
    </row>
    <row r="115" spans="1:10" x14ac:dyDescent="0.3">
      <c r="A115" s="168">
        <f t="shared" si="13"/>
        <v>98</v>
      </c>
      <c r="B115" s="169">
        <f t="shared" si="9"/>
        <v>49004</v>
      </c>
      <c r="C115" s="170">
        <f t="shared" si="14"/>
        <v>54710.942820071214</v>
      </c>
      <c r="D115" s="170">
        <f t="shared" si="17"/>
        <v>2460.4526655071218</v>
      </c>
      <c r="E115" s="171">
        <f t="shared" si="10"/>
        <v>0</v>
      </c>
      <c r="F115" s="170">
        <f t="shared" si="11"/>
        <v>2460.4526655071218</v>
      </c>
      <c r="G115" s="170">
        <f t="shared" si="15"/>
        <v>2305.4383275169198</v>
      </c>
      <c r="H115" s="170">
        <f t="shared" si="16"/>
        <v>155.01433799020177</v>
      </c>
      <c r="I115" s="170">
        <f t="shared" si="12"/>
        <v>52405.504492554297</v>
      </c>
      <c r="J115" s="170">
        <f>SUM($H$18:$H115)</f>
        <v>43529.865712252336</v>
      </c>
    </row>
    <row r="116" spans="1:10" x14ac:dyDescent="0.3">
      <c r="A116" s="168">
        <f t="shared" si="13"/>
        <v>99</v>
      </c>
      <c r="B116" s="169">
        <f t="shared" si="9"/>
        <v>49035</v>
      </c>
      <c r="C116" s="170">
        <f t="shared" si="14"/>
        <v>52405.504492554297</v>
      </c>
      <c r="D116" s="170">
        <f t="shared" si="17"/>
        <v>2460.4526655071218</v>
      </c>
      <c r="E116" s="171">
        <f t="shared" si="10"/>
        <v>0</v>
      </c>
      <c r="F116" s="170">
        <f t="shared" si="11"/>
        <v>2460.4526655071218</v>
      </c>
      <c r="G116" s="170">
        <f t="shared" si="15"/>
        <v>2311.9704027782177</v>
      </c>
      <c r="H116" s="170">
        <f t="shared" si="16"/>
        <v>148.48226272890386</v>
      </c>
      <c r="I116" s="170">
        <f t="shared" si="12"/>
        <v>50093.534089776076</v>
      </c>
      <c r="J116" s="170">
        <f>SUM($H$18:$H116)</f>
        <v>43678.34797498124</v>
      </c>
    </row>
    <row r="117" spans="1:10" x14ac:dyDescent="0.3">
      <c r="A117" s="168">
        <f t="shared" si="13"/>
        <v>100</v>
      </c>
      <c r="B117" s="169">
        <f t="shared" si="9"/>
        <v>49065</v>
      </c>
      <c r="C117" s="170">
        <f t="shared" si="14"/>
        <v>50093.534089776076</v>
      </c>
      <c r="D117" s="170">
        <f t="shared" si="17"/>
        <v>2460.4526655071218</v>
      </c>
      <c r="E117" s="171">
        <f t="shared" si="10"/>
        <v>0</v>
      </c>
      <c r="F117" s="170">
        <f t="shared" si="11"/>
        <v>2460.4526655071218</v>
      </c>
      <c r="G117" s="170">
        <f t="shared" si="15"/>
        <v>2318.5209855860894</v>
      </c>
      <c r="H117" s="170">
        <f t="shared" si="16"/>
        <v>141.93167992103221</v>
      </c>
      <c r="I117" s="170">
        <f t="shared" si="12"/>
        <v>47775.013104189988</v>
      </c>
      <c r="J117" s="170">
        <f>SUM($H$18:$H117)</f>
        <v>43820.279654902275</v>
      </c>
    </row>
    <row r="118" spans="1:10" x14ac:dyDescent="0.3">
      <c r="A118" s="168">
        <f t="shared" si="13"/>
        <v>101</v>
      </c>
      <c r="B118" s="169">
        <f t="shared" si="9"/>
        <v>49096</v>
      </c>
      <c r="C118" s="170">
        <f t="shared" si="14"/>
        <v>47775.013104189988</v>
      </c>
      <c r="D118" s="170">
        <f t="shared" si="17"/>
        <v>2460.4526655071218</v>
      </c>
      <c r="E118" s="171">
        <f t="shared" si="10"/>
        <v>0</v>
      </c>
      <c r="F118" s="170">
        <f t="shared" si="11"/>
        <v>2460.4526655071218</v>
      </c>
      <c r="G118" s="170">
        <f t="shared" si="15"/>
        <v>2325.0901283785834</v>
      </c>
      <c r="H118" s="170">
        <f t="shared" si="16"/>
        <v>135.36253712853832</v>
      </c>
      <c r="I118" s="170">
        <f t="shared" si="12"/>
        <v>45449.922975811402</v>
      </c>
      <c r="J118" s="170">
        <f>SUM($H$18:$H118)</f>
        <v>43955.642192030813</v>
      </c>
    </row>
    <row r="119" spans="1:10" x14ac:dyDescent="0.3">
      <c r="A119" s="168">
        <f t="shared" si="13"/>
        <v>102</v>
      </c>
      <c r="B119" s="169">
        <f t="shared" si="9"/>
        <v>49126</v>
      </c>
      <c r="C119" s="170">
        <f t="shared" si="14"/>
        <v>45449.922975811402</v>
      </c>
      <c r="D119" s="170">
        <f t="shared" si="17"/>
        <v>2460.4526655071218</v>
      </c>
      <c r="E119" s="171">
        <f t="shared" si="10"/>
        <v>0</v>
      </c>
      <c r="F119" s="170">
        <f t="shared" si="11"/>
        <v>2460.4526655071218</v>
      </c>
      <c r="G119" s="170">
        <f t="shared" si="15"/>
        <v>2331.6778837423226</v>
      </c>
      <c r="H119" s="170">
        <f t="shared" si="16"/>
        <v>128.77478176479897</v>
      </c>
      <c r="I119" s="170">
        <f t="shared" si="12"/>
        <v>43118.245092069075</v>
      </c>
      <c r="J119" s="170">
        <f>SUM($H$18:$H119)</f>
        <v>44084.416973795611</v>
      </c>
    </row>
    <row r="120" spans="1:10" x14ac:dyDescent="0.3">
      <c r="A120" s="168">
        <f t="shared" si="13"/>
        <v>103</v>
      </c>
      <c r="B120" s="169">
        <f t="shared" si="9"/>
        <v>49157</v>
      </c>
      <c r="C120" s="170">
        <f t="shared" si="14"/>
        <v>43118.245092069075</v>
      </c>
      <c r="D120" s="170">
        <f t="shared" si="17"/>
        <v>2460.4526655071218</v>
      </c>
      <c r="E120" s="171">
        <f t="shared" si="10"/>
        <v>0</v>
      </c>
      <c r="F120" s="170">
        <f t="shared" si="11"/>
        <v>2460.4526655071218</v>
      </c>
      <c r="G120" s="170">
        <f t="shared" si="15"/>
        <v>2338.2843044129258</v>
      </c>
      <c r="H120" s="170">
        <f t="shared" si="16"/>
        <v>122.16836109419573</v>
      </c>
      <c r="I120" s="170">
        <f t="shared" si="12"/>
        <v>40779.960787656149</v>
      </c>
      <c r="J120" s="170">
        <f>SUM($H$18:$H120)</f>
        <v>44206.585334889809</v>
      </c>
    </row>
    <row r="121" spans="1:10" x14ac:dyDescent="0.3">
      <c r="A121" s="168">
        <f t="shared" si="13"/>
        <v>104</v>
      </c>
      <c r="B121" s="169">
        <f t="shared" si="9"/>
        <v>49188</v>
      </c>
      <c r="C121" s="170">
        <f t="shared" si="14"/>
        <v>40779.960787656149</v>
      </c>
      <c r="D121" s="170">
        <f t="shared" si="17"/>
        <v>2460.4526655071218</v>
      </c>
      <c r="E121" s="171">
        <f t="shared" si="10"/>
        <v>0</v>
      </c>
      <c r="F121" s="170">
        <f t="shared" si="11"/>
        <v>2460.4526655071218</v>
      </c>
      <c r="G121" s="170">
        <f t="shared" si="15"/>
        <v>2344.9094432754291</v>
      </c>
      <c r="H121" s="170">
        <f t="shared" si="16"/>
        <v>115.54322223169243</v>
      </c>
      <c r="I121" s="170">
        <f t="shared" si="12"/>
        <v>38435.051344380721</v>
      </c>
      <c r="J121" s="170">
        <f>SUM($H$18:$H121)</f>
        <v>44322.128557121505</v>
      </c>
    </row>
    <row r="122" spans="1:10" x14ac:dyDescent="0.3">
      <c r="A122" s="168">
        <f t="shared" si="13"/>
        <v>105</v>
      </c>
      <c r="B122" s="169">
        <f t="shared" si="9"/>
        <v>49218</v>
      </c>
      <c r="C122" s="170">
        <f t="shared" si="14"/>
        <v>38435.051344380721</v>
      </c>
      <c r="D122" s="170">
        <f t="shared" si="17"/>
        <v>2460.4526655071218</v>
      </c>
      <c r="E122" s="171">
        <f t="shared" si="10"/>
        <v>0</v>
      </c>
      <c r="F122" s="170">
        <f t="shared" si="11"/>
        <v>2460.4526655071218</v>
      </c>
      <c r="G122" s="170">
        <f t="shared" si="15"/>
        <v>2351.5533533647099</v>
      </c>
      <c r="H122" s="170">
        <f t="shared" si="16"/>
        <v>108.89931214241204</v>
      </c>
      <c r="I122" s="170">
        <f t="shared" si="12"/>
        <v>36083.497991016011</v>
      </c>
      <c r="J122" s="170">
        <f>SUM($H$18:$H122)</f>
        <v>44431.027869263919</v>
      </c>
    </row>
    <row r="123" spans="1:10" x14ac:dyDescent="0.3">
      <c r="A123" s="168">
        <f t="shared" si="13"/>
        <v>106</v>
      </c>
      <c r="B123" s="169">
        <f t="shared" si="9"/>
        <v>49249</v>
      </c>
      <c r="C123" s="170">
        <f t="shared" si="14"/>
        <v>36083.497991016011</v>
      </c>
      <c r="D123" s="170">
        <f t="shared" si="17"/>
        <v>2460.4526655071218</v>
      </c>
      <c r="E123" s="171">
        <f t="shared" si="10"/>
        <v>0</v>
      </c>
      <c r="F123" s="170">
        <f t="shared" si="11"/>
        <v>2460.4526655071218</v>
      </c>
      <c r="G123" s="170">
        <f t="shared" si="15"/>
        <v>2358.2160878659097</v>
      </c>
      <c r="H123" s="170">
        <f t="shared" si="16"/>
        <v>102.23657764121204</v>
      </c>
      <c r="I123" s="170">
        <f t="shared" si="12"/>
        <v>33725.281903150099</v>
      </c>
      <c r="J123" s="170">
        <f>SUM($H$18:$H123)</f>
        <v>44533.26444690513</v>
      </c>
    </row>
    <row r="124" spans="1:10" x14ac:dyDescent="0.3">
      <c r="A124" s="168">
        <f t="shared" si="13"/>
        <v>107</v>
      </c>
      <c r="B124" s="169">
        <f t="shared" si="9"/>
        <v>49279</v>
      </c>
      <c r="C124" s="170">
        <f t="shared" si="14"/>
        <v>33725.281903150099</v>
      </c>
      <c r="D124" s="170">
        <f t="shared" si="17"/>
        <v>2460.4526655071218</v>
      </c>
      <c r="E124" s="171">
        <f t="shared" si="10"/>
        <v>0</v>
      </c>
      <c r="F124" s="170">
        <f t="shared" si="11"/>
        <v>2460.4526655071218</v>
      </c>
      <c r="G124" s="170">
        <f t="shared" si="15"/>
        <v>2364.8977001148633</v>
      </c>
      <c r="H124" s="170">
        <f t="shared" si="16"/>
        <v>95.554965392258623</v>
      </c>
      <c r="I124" s="170">
        <f t="shared" si="12"/>
        <v>31360.384203035235</v>
      </c>
      <c r="J124" s="170">
        <f>SUM($H$18:$H124)</f>
        <v>44628.819412297387</v>
      </c>
    </row>
    <row r="125" spans="1:10" x14ac:dyDescent="0.3">
      <c r="A125" s="168">
        <f t="shared" si="13"/>
        <v>108</v>
      </c>
      <c r="B125" s="169">
        <f t="shared" si="9"/>
        <v>49310</v>
      </c>
      <c r="C125" s="170">
        <f t="shared" si="14"/>
        <v>31360.384203035235</v>
      </c>
      <c r="D125" s="170">
        <f t="shared" si="17"/>
        <v>2460.4526655071218</v>
      </c>
      <c r="E125" s="171">
        <f t="shared" si="10"/>
        <v>0</v>
      </c>
      <c r="F125" s="170">
        <f t="shared" si="11"/>
        <v>2460.4526655071218</v>
      </c>
      <c r="G125" s="170">
        <f t="shared" si="15"/>
        <v>2371.598243598522</v>
      </c>
      <c r="H125" s="170">
        <f t="shared" si="16"/>
        <v>88.854421908599832</v>
      </c>
      <c r="I125" s="170">
        <f t="shared" si="12"/>
        <v>28988.785959436715</v>
      </c>
      <c r="J125" s="170">
        <f>SUM($H$18:$H125)</f>
        <v>44717.673834205991</v>
      </c>
    </row>
    <row r="126" spans="1:10" x14ac:dyDescent="0.3">
      <c r="A126" s="168">
        <f t="shared" si="13"/>
        <v>109</v>
      </c>
      <c r="B126" s="169">
        <f t="shared" si="9"/>
        <v>49341</v>
      </c>
      <c r="C126" s="170">
        <f t="shared" si="14"/>
        <v>28988.785959436715</v>
      </c>
      <c r="D126" s="170">
        <f t="shared" si="17"/>
        <v>2460.4526655071218</v>
      </c>
      <c r="E126" s="171">
        <f t="shared" si="10"/>
        <v>0</v>
      </c>
      <c r="F126" s="170">
        <f t="shared" si="11"/>
        <v>2460.4526655071218</v>
      </c>
      <c r="G126" s="170">
        <f t="shared" si="15"/>
        <v>2378.3177719553846</v>
      </c>
      <c r="H126" s="170">
        <f t="shared" si="16"/>
        <v>82.134893551737363</v>
      </c>
      <c r="I126" s="170">
        <f t="shared" si="12"/>
        <v>26610.468187481329</v>
      </c>
      <c r="J126" s="170">
        <f>SUM($H$18:$H126)</f>
        <v>44799.808727757729</v>
      </c>
    </row>
    <row r="127" spans="1:10" x14ac:dyDescent="0.3">
      <c r="A127" s="168">
        <f t="shared" si="13"/>
        <v>110</v>
      </c>
      <c r="B127" s="169">
        <f t="shared" si="9"/>
        <v>49369</v>
      </c>
      <c r="C127" s="170">
        <f t="shared" si="14"/>
        <v>26610.468187481329</v>
      </c>
      <c r="D127" s="170">
        <f t="shared" si="17"/>
        <v>2460.4526655071218</v>
      </c>
      <c r="E127" s="171">
        <f t="shared" si="10"/>
        <v>0</v>
      </c>
      <c r="F127" s="170">
        <f t="shared" si="11"/>
        <v>2460.4526655071218</v>
      </c>
      <c r="G127" s="170">
        <f t="shared" si="15"/>
        <v>2385.0563389759245</v>
      </c>
      <c r="H127" s="170">
        <f t="shared" si="16"/>
        <v>75.396326531197104</v>
      </c>
      <c r="I127" s="170">
        <f t="shared" si="12"/>
        <v>24225.411848505406</v>
      </c>
      <c r="J127" s="170">
        <f>SUM($H$18:$H127)</f>
        <v>44875.205054288926</v>
      </c>
    </row>
    <row r="128" spans="1:10" x14ac:dyDescent="0.3">
      <c r="A128" s="168">
        <f t="shared" si="13"/>
        <v>111</v>
      </c>
      <c r="B128" s="169">
        <f t="shared" si="9"/>
        <v>49400</v>
      </c>
      <c r="C128" s="170">
        <f t="shared" si="14"/>
        <v>24225.411848505406</v>
      </c>
      <c r="D128" s="170">
        <f t="shared" si="17"/>
        <v>2460.4526655071218</v>
      </c>
      <c r="E128" s="171">
        <f t="shared" si="10"/>
        <v>0</v>
      </c>
      <c r="F128" s="170">
        <f t="shared" si="11"/>
        <v>2460.4526655071218</v>
      </c>
      <c r="G128" s="170">
        <f t="shared" si="15"/>
        <v>2391.8139986030233</v>
      </c>
      <c r="H128" s="170">
        <f t="shared" si="16"/>
        <v>68.638666904098656</v>
      </c>
      <c r="I128" s="170">
        <f t="shared" si="12"/>
        <v>21833.597849902384</v>
      </c>
      <c r="J128" s="170">
        <f>SUM($H$18:$H128)</f>
        <v>44943.843721193029</v>
      </c>
    </row>
    <row r="129" spans="1:10" x14ac:dyDescent="0.3">
      <c r="A129" s="168">
        <f t="shared" si="13"/>
        <v>112</v>
      </c>
      <c r="B129" s="169">
        <f t="shared" si="9"/>
        <v>49430</v>
      </c>
      <c r="C129" s="170">
        <f t="shared" si="14"/>
        <v>21833.597849902384</v>
      </c>
      <c r="D129" s="170">
        <f t="shared" si="17"/>
        <v>2460.4526655071218</v>
      </c>
      <c r="E129" s="171">
        <f t="shared" si="10"/>
        <v>0</v>
      </c>
      <c r="F129" s="170">
        <f t="shared" si="11"/>
        <v>2460.4526655071218</v>
      </c>
      <c r="G129" s="170">
        <f t="shared" si="15"/>
        <v>2398.5908049323984</v>
      </c>
      <c r="H129" s="170">
        <f t="shared" si="16"/>
        <v>61.86186057472343</v>
      </c>
      <c r="I129" s="170">
        <f t="shared" si="12"/>
        <v>19435.007044969985</v>
      </c>
      <c r="J129" s="170">
        <f>SUM($H$18:$H129)</f>
        <v>45005.705581767754</v>
      </c>
    </row>
    <row r="130" spans="1:10" x14ac:dyDescent="0.3">
      <c r="A130" s="168">
        <f t="shared" si="13"/>
        <v>113</v>
      </c>
      <c r="B130" s="169">
        <f t="shared" si="9"/>
        <v>49461</v>
      </c>
      <c r="C130" s="170">
        <f t="shared" si="14"/>
        <v>19435.007044969985</v>
      </c>
      <c r="D130" s="170">
        <f t="shared" si="17"/>
        <v>2460.4526655071218</v>
      </c>
      <c r="E130" s="171">
        <f t="shared" si="10"/>
        <v>0</v>
      </c>
      <c r="F130" s="170">
        <f t="shared" si="11"/>
        <v>2460.4526655071218</v>
      </c>
      <c r="G130" s="170">
        <f t="shared" si="15"/>
        <v>2405.3868122130402</v>
      </c>
      <c r="H130" s="170">
        <f t="shared" si="16"/>
        <v>55.065853294081627</v>
      </c>
      <c r="I130" s="170">
        <f t="shared" si="12"/>
        <v>17029.620232756944</v>
      </c>
      <c r="J130" s="170">
        <f>SUM($H$18:$H130)</f>
        <v>45060.771435061833</v>
      </c>
    </row>
    <row r="131" spans="1:10" x14ac:dyDescent="0.3">
      <c r="A131" s="168">
        <f t="shared" si="13"/>
        <v>114</v>
      </c>
      <c r="B131" s="169">
        <f t="shared" si="9"/>
        <v>49491</v>
      </c>
      <c r="C131" s="170">
        <f t="shared" si="14"/>
        <v>17029.620232756944</v>
      </c>
      <c r="D131" s="170">
        <f t="shared" si="17"/>
        <v>2460.4526655071218</v>
      </c>
      <c r="E131" s="171">
        <f t="shared" si="10"/>
        <v>0</v>
      </c>
      <c r="F131" s="170">
        <f t="shared" si="11"/>
        <v>2460.4526655071218</v>
      </c>
      <c r="G131" s="170">
        <f t="shared" si="15"/>
        <v>2412.2020748476439</v>
      </c>
      <c r="H131" s="170">
        <f t="shared" si="16"/>
        <v>48.250590659478014</v>
      </c>
      <c r="I131" s="170">
        <f t="shared" si="12"/>
        <v>14617.4181579093</v>
      </c>
      <c r="J131" s="170">
        <f>SUM($H$18:$H131)</f>
        <v>45109.022025721315</v>
      </c>
    </row>
    <row r="132" spans="1:10" x14ac:dyDescent="0.3">
      <c r="A132" s="168">
        <f t="shared" si="13"/>
        <v>115</v>
      </c>
      <c r="B132" s="169">
        <f t="shared" si="9"/>
        <v>49522</v>
      </c>
      <c r="C132" s="170">
        <f t="shared" si="14"/>
        <v>14617.4181579093</v>
      </c>
      <c r="D132" s="170">
        <f t="shared" si="17"/>
        <v>2460.4526655071218</v>
      </c>
      <c r="E132" s="171">
        <f t="shared" si="10"/>
        <v>0</v>
      </c>
      <c r="F132" s="170">
        <f t="shared" si="11"/>
        <v>2460.4526655071218</v>
      </c>
      <c r="G132" s="170">
        <f t="shared" si="15"/>
        <v>2419.0366473930453</v>
      </c>
      <c r="H132" s="170">
        <f t="shared" si="16"/>
        <v>41.416018114076351</v>
      </c>
      <c r="I132" s="170">
        <f t="shared" si="12"/>
        <v>12198.381510516254</v>
      </c>
      <c r="J132" s="170">
        <f>SUM($H$18:$H132)</f>
        <v>45150.438043835391</v>
      </c>
    </row>
    <row r="133" spans="1:10" x14ac:dyDescent="0.3">
      <c r="A133" s="168">
        <f t="shared" si="13"/>
        <v>116</v>
      </c>
      <c r="B133" s="169">
        <f t="shared" si="9"/>
        <v>49553</v>
      </c>
      <c r="C133" s="170">
        <f t="shared" si="14"/>
        <v>12198.381510516254</v>
      </c>
      <c r="D133" s="170">
        <f t="shared" si="17"/>
        <v>2460.4526655071218</v>
      </c>
      <c r="E133" s="171">
        <f t="shared" si="10"/>
        <v>0</v>
      </c>
      <c r="F133" s="170">
        <f t="shared" si="11"/>
        <v>2460.4526655071218</v>
      </c>
      <c r="G133" s="170">
        <f t="shared" si="15"/>
        <v>2425.8905845606591</v>
      </c>
      <c r="H133" s="170">
        <f t="shared" si="16"/>
        <v>34.562080946462721</v>
      </c>
      <c r="I133" s="170">
        <f t="shared" si="12"/>
        <v>9772.4909259555952</v>
      </c>
      <c r="J133" s="170">
        <f>SUM($H$18:$H133)</f>
        <v>45185.000124781851</v>
      </c>
    </row>
    <row r="134" spans="1:10" x14ac:dyDescent="0.3">
      <c r="A134" s="168">
        <f t="shared" si="13"/>
        <v>117</v>
      </c>
      <c r="B134" s="169">
        <f t="shared" si="9"/>
        <v>49583</v>
      </c>
      <c r="C134" s="170">
        <f t="shared" si="14"/>
        <v>9772.4909259555952</v>
      </c>
      <c r="D134" s="170">
        <f t="shared" si="17"/>
        <v>2460.4526655071218</v>
      </c>
      <c r="E134" s="171">
        <f t="shared" si="10"/>
        <v>0</v>
      </c>
      <c r="F134" s="170">
        <f t="shared" si="11"/>
        <v>2460.4526655071218</v>
      </c>
      <c r="G134" s="170">
        <f t="shared" si="15"/>
        <v>2432.7639412169142</v>
      </c>
      <c r="H134" s="170">
        <f t="shared" si="16"/>
        <v>27.688724290207521</v>
      </c>
      <c r="I134" s="170">
        <f t="shared" si="12"/>
        <v>7339.7269847386815</v>
      </c>
      <c r="J134" s="170">
        <f>SUM($H$18:$H134)</f>
        <v>45212.688849072059</v>
      </c>
    </row>
    <row r="135" spans="1:10" x14ac:dyDescent="0.3">
      <c r="A135" s="168">
        <f t="shared" si="13"/>
        <v>118</v>
      </c>
      <c r="B135" s="169">
        <f t="shared" si="9"/>
        <v>49614</v>
      </c>
      <c r="C135" s="170">
        <f t="shared" si="14"/>
        <v>7339.7269847386815</v>
      </c>
      <c r="D135" s="170">
        <f t="shared" si="17"/>
        <v>2460.4526655071218</v>
      </c>
      <c r="E135" s="171">
        <f t="shared" si="10"/>
        <v>0</v>
      </c>
      <c r="F135" s="170">
        <f t="shared" si="11"/>
        <v>2460.4526655071218</v>
      </c>
      <c r="G135" s="170">
        <f t="shared" si="15"/>
        <v>2439.6567723836956</v>
      </c>
      <c r="H135" s="170">
        <f t="shared" si="16"/>
        <v>20.795893123426264</v>
      </c>
      <c r="I135" s="170">
        <f t="shared" si="12"/>
        <v>4900.0702123549854</v>
      </c>
      <c r="J135" s="170">
        <f>SUM($H$18:$H135)</f>
        <v>45233.484742195484</v>
      </c>
    </row>
    <row r="136" spans="1:10" x14ac:dyDescent="0.3">
      <c r="A136" s="168">
        <f t="shared" si="13"/>
        <v>119</v>
      </c>
      <c r="B136" s="169">
        <f t="shared" si="9"/>
        <v>49644</v>
      </c>
      <c r="C136" s="170">
        <f t="shared" si="14"/>
        <v>4900.0702123549854</v>
      </c>
      <c r="D136" s="170">
        <f t="shared" si="17"/>
        <v>2460.4526655071218</v>
      </c>
      <c r="E136" s="171">
        <f t="shared" si="10"/>
        <v>0</v>
      </c>
      <c r="F136" s="170">
        <f t="shared" si="11"/>
        <v>2460.4526655071218</v>
      </c>
      <c r="G136" s="170">
        <f t="shared" si="15"/>
        <v>2446.5691332387828</v>
      </c>
      <c r="H136" s="170">
        <f t="shared" si="16"/>
        <v>13.883532268339126</v>
      </c>
      <c r="I136" s="170">
        <f t="shared" si="12"/>
        <v>2453.5010791162026</v>
      </c>
      <c r="J136" s="170">
        <f>SUM($H$18:$H136)</f>
        <v>45247.368274463821</v>
      </c>
    </row>
    <row r="137" spans="1:10" x14ac:dyDescent="0.3">
      <c r="A137" s="168">
        <f t="shared" si="13"/>
        <v>120</v>
      </c>
      <c r="B137" s="169">
        <f t="shared" si="9"/>
        <v>49675</v>
      </c>
      <c r="C137" s="170">
        <f t="shared" si="14"/>
        <v>2453.5010791162026</v>
      </c>
      <c r="D137" s="170">
        <f t="shared" si="17"/>
        <v>2460.4526655071218</v>
      </c>
      <c r="E137" s="171">
        <f t="shared" si="10"/>
        <v>0</v>
      </c>
      <c r="F137" s="170">
        <f t="shared" si="11"/>
        <v>2453.5010791162026</v>
      </c>
      <c r="G137" s="170">
        <f t="shared" si="15"/>
        <v>2446.5494927253735</v>
      </c>
      <c r="H137" s="170">
        <f t="shared" si="16"/>
        <v>6.9515863908292417</v>
      </c>
      <c r="I137" s="170">
        <f t="shared" si="12"/>
        <v>0</v>
      </c>
      <c r="J137" s="170">
        <f>SUM($H$18:$H137)</f>
        <v>45254.319860854652</v>
      </c>
    </row>
    <row r="138" spans="1:10" x14ac:dyDescent="0.3">
      <c r="A138" s="168">
        <f t="shared" si="13"/>
        <v>121</v>
      </c>
      <c r="B138" s="169">
        <f t="shared" si="9"/>
        <v>49706</v>
      </c>
      <c r="C138" s="170">
        <f t="shared" si="14"/>
        <v>0</v>
      </c>
      <c r="D138" s="170">
        <f t="shared" si="17"/>
        <v>2460.4526655071218</v>
      </c>
      <c r="E138" s="171">
        <f t="shared" si="10"/>
        <v>0</v>
      </c>
      <c r="F138" s="170">
        <f t="shared" si="11"/>
        <v>0</v>
      </c>
      <c r="G138" s="170">
        <f t="shared" si="15"/>
        <v>0</v>
      </c>
      <c r="H138" s="170">
        <f t="shared" si="16"/>
        <v>0</v>
      </c>
      <c r="I138" s="170">
        <f t="shared" si="12"/>
        <v>0</v>
      </c>
      <c r="J138" s="170">
        <f>SUM($H$18:$H138)</f>
        <v>45254.319860854652</v>
      </c>
    </row>
    <row r="139" spans="1:10" x14ac:dyDescent="0.3">
      <c r="A139" s="168">
        <f t="shared" si="13"/>
        <v>122</v>
      </c>
      <c r="B139" s="169">
        <f t="shared" si="9"/>
        <v>49735</v>
      </c>
      <c r="C139" s="170">
        <f t="shared" si="14"/>
        <v>0</v>
      </c>
      <c r="D139" s="170">
        <f t="shared" si="17"/>
        <v>2460.4526655071218</v>
      </c>
      <c r="E139" s="171">
        <f t="shared" si="10"/>
        <v>0</v>
      </c>
      <c r="F139" s="170">
        <f t="shared" si="11"/>
        <v>0</v>
      </c>
      <c r="G139" s="170">
        <f t="shared" si="15"/>
        <v>0</v>
      </c>
      <c r="H139" s="170">
        <f t="shared" si="16"/>
        <v>0</v>
      </c>
      <c r="I139" s="170">
        <f t="shared" si="12"/>
        <v>0</v>
      </c>
      <c r="J139" s="170">
        <f>SUM($H$18:$H139)</f>
        <v>45254.319860854652</v>
      </c>
    </row>
    <row r="140" spans="1:10" x14ac:dyDescent="0.3">
      <c r="A140" s="168">
        <f t="shared" si="13"/>
        <v>123</v>
      </c>
      <c r="B140" s="169">
        <f t="shared" si="9"/>
        <v>49766</v>
      </c>
      <c r="C140" s="170">
        <f t="shared" si="14"/>
        <v>0</v>
      </c>
      <c r="D140" s="170">
        <f t="shared" si="17"/>
        <v>2460.4526655071218</v>
      </c>
      <c r="E140" s="171">
        <f t="shared" si="10"/>
        <v>0</v>
      </c>
      <c r="F140" s="170">
        <f t="shared" si="11"/>
        <v>0</v>
      </c>
      <c r="G140" s="170">
        <f t="shared" si="15"/>
        <v>0</v>
      </c>
      <c r="H140" s="170">
        <f t="shared" si="16"/>
        <v>0</v>
      </c>
      <c r="I140" s="170">
        <f t="shared" si="12"/>
        <v>0</v>
      </c>
      <c r="J140" s="170">
        <f>SUM($H$18:$H140)</f>
        <v>45254.319860854652</v>
      </c>
    </row>
    <row r="141" spans="1:10" x14ac:dyDescent="0.3">
      <c r="A141" s="168">
        <f t="shared" si="13"/>
        <v>124</v>
      </c>
      <c r="B141" s="169">
        <f t="shared" si="9"/>
        <v>49796</v>
      </c>
      <c r="C141" s="170">
        <f t="shared" si="14"/>
        <v>0</v>
      </c>
      <c r="D141" s="170">
        <f t="shared" si="17"/>
        <v>2460.4526655071218</v>
      </c>
      <c r="E141" s="171">
        <f t="shared" si="10"/>
        <v>0</v>
      </c>
      <c r="F141" s="170">
        <f t="shared" si="11"/>
        <v>0</v>
      </c>
      <c r="G141" s="170">
        <f t="shared" si="15"/>
        <v>0</v>
      </c>
      <c r="H141" s="170">
        <f t="shared" si="16"/>
        <v>0</v>
      </c>
      <c r="I141" s="170">
        <f t="shared" si="12"/>
        <v>0</v>
      </c>
      <c r="J141" s="170">
        <f>SUM($H$18:$H141)</f>
        <v>45254.319860854652</v>
      </c>
    </row>
    <row r="142" spans="1:10" x14ac:dyDescent="0.3">
      <c r="A142" s="168">
        <f t="shared" si="13"/>
        <v>125</v>
      </c>
      <c r="B142" s="169">
        <f t="shared" si="9"/>
        <v>49827</v>
      </c>
      <c r="C142" s="170">
        <f t="shared" si="14"/>
        <v>0</v>
      </c>
      <c r="D142" s="170">
        <f t="shared" si="17"/>
        <v>2460.4526655071218</v>
      </c>
      <c r="E142" s="171">
        <f t="shared" si="10"/>
        <v>0</v>
      </c>
      <c r="F142" s="170">
        <f t="shared" si="11"/>
        <v>0</v>
      </c>
      <c r="G142" s="170">
        <f t="shared" si="15"/>
        <v>0</v>
      </c>
      <c r="H142" s="170">
        <f t="shared" si="16"/>
        <v>0</v>
      </c>
      <c r="I142" s="170">
        <f t="shared" si="12"/>
        <v>0</v>
      </c>
      <c r="J142" s="170">
        <f>SUM($H$18:$H142)</f>
        <v>45254.319860854652</v>
      </c>
    </row>
    <row r="143" spans="1:10" x14ac:dyDescent="0.3">
      <c r="A143" s="168">
        <f t="shared" si="13"/>
        <v>126</v>
      </c>
      <c r="B143" s="169">
        <f t="shared" si="9"/>
        <v>49857</v>
      </c>
      <c r="C143" s="170">
        <f t="shared" si="14"/>
        <v>0</v>
      </c>
      <c r="D143" s="170">
        <f t="shared" si="17"/>
        <v>2460.4526655071218</v>
      </c>
      <c r="E143" s="171">
        <f t="shared" si="10"/>
        <v>0</v>
      </c>
      <c r="F143" s="170">
        <f t="shared" si="11"/>
        <v>0</v>
      </c>
      <c r="G143" s="170">
        <f t="shared" si="15"/>
        <v>0</v>
      </c>
      <c r="H143" s="170">
        <f t="shared" si="16"/>
        <v>0</v>
      </c>
      <c r="I143" s="170">
        <f t="shared" si="12"/>
        <v>0</v>
      </c>
      <c r="J143" s="170">
        <f>SUM($H$18:$H143)</f>
        <v>45254.319860854652</v>
      </c>
    </row>
    <row r="144" spans="1:10" x14ac:dyDescent="0.3">
      <c r="A144" s="168">
        <f t="shared" si="13"/>
        <v>127</v>
      </c>
      <c r="B144" s="169">
        <f t="shared" si="9"/>
        <v>49888</v>
      </c>
      <c r="C144" s="170">
        <f t="shared" si="14"/>
        <v>0</v>
      </c>
      <c r="D144" s="170">
        <f t="shared" si="17"/>
        <v>2460.4526655071218</v>
      </c>
      <c r="E144" s="171">
        <f t="shared" si="10"/>
        <v>0</v>
      </c>
      <c r="F144" s="170">
        <f t="shared" si="11"/>
        <v>0</v>
      </c>
      <c r="G144" s="170">
        <f t="shared" si="15"/>
        <v>0</v>
      </c>
      <c r="H144" s="170">
        <f t="shared" si="16"/>
        <v>0</v>
      </c>
      <c r="I144" s="170">
        <f t="shared" si="12"/>
        <v>0</v>
      </c>
      <c r="J144" s="170">
        <f>SUM($H$18:$H144)</f>
        <v>45254.319860854652</v>
      </c>
    </row>
    <row r="145" spans="1:10" x14ac:dyDescent="0.3">
      <c r="A145" s="168">
        <f t="shared" si="13"/>
        <v>128</v>
      </c>
      <c r="B145" s="169">
        <f t="shared" si="9"/>
        <v>49919</v>
      </c>
      <c r="C145" s="170">
        <f t="shared" si="14"/>
        <v>0</v>
      </c>
      <c r="D145" s="170">
        <f t="shared" si="17"/>
        <v>2460.4526655071218</v>
      </c>
      <c r="E145" s="171">
        <f t="shared" si="10"/>
        <v>0</v>
      </c>
      <c r="F145" s="170">
        <f t="shared" si="11"/>
        <v>0</v>
      </c>
      <c r="G145" s="170">
        <f t="shared" si="15"/>
        <v>0</v>
      </c>
      <c r="H145" s="170">
        <f t="shared" si="16"/>
        <v>0</v>
      </c>
      <c r="I145" s="170">
        <f t="shared" si="12"/>
        <v>0</v>
      </c>
      <c r="J145" s="170">
        <f>SUM($H$18:$H145)</f>
        <v>45254.319860854652</v>
      </c>
    </row>
    <row r="146" spans="1:10" x14ac:dyDescent="0.3">
      <c r="A146" s="168">
        <f t="shared" si="13"/>
        <v>129</v>
      </c>
      <c r="B146" s="169">
        <f t="shared" ref="B146:B209" si="18">IF(Nbre_Pmt&lt;&gt;"",DATE(YEAR(Début_Prêt),MONTH(Début_Prêt)+(Nbre_Pmt)*12/Nbre_Pmt_Par_An,DAY(Début_Prêt)),"")</f>
        <v>49949</v>
      </c>
      <c r="C146" s="170">
        <f t="shared" si="14"/>
        <v>0</v>
      </c>
      <c r="D146" s="170">
        <f t="shared" si="17"/>
        <v>2460.4526655071218</v>
      </c>
      <c r="E146" s="171">
        <f t="shared" ref="E146:E209" si="19">IF(AND(Nbre_Pmt&lt;&gt;"",Pmt_Programmé+Pmts_Supplémentaires_Programmés&lt;Solde_Départ),Pmts_Supplémentaires_Programmés,IF(AND(Nbre_Pmt&lt;&gt;"",Solde_Départ-Pmt_Programmé&gt;0),Solde_Départ-Pmt_Programmé,IF(Nbre_Pmt&lt;&gt;"",0,"")))</f>
        <v>0</v>
      </c>
      <c r="F146" s="170">
        <f t="shared" ref="F146:F209" si="20">IF(AND(Nbre_Pmt&lt;&gt;"",Pmt_Programmé+Pmt_Supplémentaire&lt;Solde_Départ),Pmt_Programmé+Pmt_Supplémentaire,IF(Nbre_Pmt&lt;&gt;"",Solde_Départ,""))</f>
        <v>0</v>
      </c>
      <c r="G146" s="170">
        <f t="shared" si="15"/>
        <v>0</v>
      </c>
      <c r="H146" s="170">
        <f t="shared" si="16"/>
        <v>0</v>
      </c>
      <c r="I146" s="170">
        <f t="shared" ref="I146:I209" si="21">IF(AND(Nbre_Pmt&lt;&gt;"",Pmt_Programmé+Pmt_Supplémentaire&lt;Solde_Départ),Solde_Départ-Princ,IF(Nbre_Pmt&lt;&gt;"",0,""))</f>
        <v>0</v>
      </c>
      <c r="J146" s="170">
        <f>SUM($H$18:$H146)</f>
        <v>45254.319860854652</v>
      </c>
    </row>
    <row r="147" spans="1:10" x14ac:dyDescent="0.3">
      <c r="A147" s="168">
        <f t="shared" ref="A147:A210" si="22">IF(Valeurs_Entrées,A146+1,"")</f>
        <v>130</v>
      </c>
      <c r="B147" s="169">
        <f t="shared" si="18"/>
        <v>49980</v>
      </c>
      <c r="C147" s="170">
        <f t="shared" ref="C147:C210" si="23">IF(Nbre_Pmt&lt;&gt;"",I146,"")</f>
        <v>0</v>
      </c>
      <c r="D147" s="170">
        <f t="shared" si="17"/>
        <v>2460.4526655071218</v>
      </c>
      <c r="E147" s="171">
        <f t="shared" si="19"/>
        <v>0</v>
      </c>
      <c r="F147" s="170">
        <f t="shared" si="20"/>
        <v>0</v>
      </c>
      <c r="G147" s="170">
        <f t="shared" ref="G147:G210" si="24">IF(Nbre_Pmt&lt;&gt;"",Pmt_Total-Ent,"")</f>
        <v>0</v>
      </c>
      <c r="H147" s="170">
        <f t="shared" ref="H147:H210" si="25">IF(Nbre_Pmt&lt;&gt;"",Solde_Départ*Taux_Intérêt/Nbre_Pmt_Par_An,"")</f>
        <v>0</v>
      </c>
      <c r="I147" s="170">
        <f t="shared" si="21"/>
        <v>0</v>
      </c>
      <c r="J147" s="170">
        <f>SUM($H$18:$H147)</f>
        <v>45254.319860854652</v>
      </c>
    </row>
    <row r="148" spans="1:10" x14ac:dyDescent="0.3">
      <c r="A148" s="168">
        <f t="shared" si="22"/>
        <v>131</v>
      </c>
      <c r="B148" s="169">
        <f t="shared" si="18"/>
        <v>50010</v>
      </c>
      <c r="C148" s="170">
        <f t="shared" si="23"/>
        <v>0</v>
      </c>
      <c r="D148" s="170">
        <f t="shared" ref="D148:D211" si="26">IF(Nbre_Pmt&lt;&gt;"",Pmt_Mensuel_Programmé,"")</f>
        <v>2460.4526655071218</v>
      </c>
      <c r="E148" s="171">
        <f t="shared" si="19"/>
        <v>0</v>
      </c>
      <c r="F148" s="170">
        <f t="shared" si="20"/>
        <v>0</v>
      </c>
      <c r="G148" s="170">
        <f t="shared" si="24"/>
        <v>0</v>
      </c>
      <c r="H148" s="170">
        <f t="shared" si="25"/>
        <v>0</v>
      </c>
      <c r="I148" s="170">
        <f t="shared" si="21"/>
        <v>0</v>
      </c>
      <c r="J148" s="170">
        <f>SUM($H$18:$H148)</f>
        <v>45254.319860854652</v>
      </c>
    </row>
    <row r="149" spans="1:10" x14ac:dyDescent="0.3">
      <c r="A149" s="168">
        <f t="shared" si="22"/>
        <v>132</v>
      </c>
      <c r="B149" s="169">
        <f t="shared" si="18"/>
        <v>50041</v>
      </c>
      <c r="C149" s="170">
        <f t="shared" si="23"/>
        <v>0</v>
      </c>
      <c r="D149" s="170">
        <f t="shared" si="26"/>
        <v>2460.4526655071218</v>
      </c>
      <c r="E149" s="171">
        <f t="shared" si="19"/>
        <v>0</v>
      </c>
      <c r="F149" s="170">
        <f t="shared" si="20"/>
        <v>0</v>
      </c>
      <c r="G149" s="170">
        <f t="shared" si="24"/>
        <v>0</v>
      </c>
      <c r="H149" s="170">
        <f t="shared" si="25"/>
        <v>0</v>
      </c>
      <c r="I149" s="170">
        <f t="shared" si="21"/>
        <v>0</v>
      </c>
      <c r="J149" s="170">
        <f>SUM($H$18:$H149)</f>
        <v>45254.319860854652</v>
      </c>
    </row>
    <row r="150" spans="1:10" x14ac:dyDescent="0.3">
      <c r="A150" s="168">
        <f t="shared" si="22"/>
        <v>133</v>
      </c>
      <c r="B150" s="169">
        <f t="shared" si="18"/>
        <v>50072</v>
      </c>
      <c r="C150" s="170">
        <f t="shared" si="23"/>
        <v>0</v>
      </c>
      <c r="D150" s="170">
        <f t="shared" si="26"/>
        <v>2460.4526655071218</v>
      </c>
      <c r="E150" s="171">
        <f t="shared" si="19"/>
        <v>0</v>
      </c>
      <c r="F150" s="170">
        <f t="shared" si="20"/>
        <v>0</v>
      </c>
      <c r="G150" s="170">
        <f t="shared" si="24"/>
        <v>0</v>
      </c>
      <c r="H150" s="170">
        <f t="shared" si="25"/>
        <v>0</v>
      </c>
      <c r="I150" s="170">
        <f t="shared" si="21"/>
        <v>0</v>
      </c>
      <c r="J150" s="170">
        <f>SUM($H$18:$H150)</f>
        <v>45254.319860854652</v>
      </c>
    </row>
    <row r="151" spans="1:10" x14ac:dyDescent="0.3">
      <c r="A151" s="168">
        <f t="shared" si="22"/>
        <v>134</v>
      </c>
      <c r="B151" s="169">
        <f t="shared" si="18"/>
        <v>50100</v>
      </c>
      <c r="C151" s="170">
        <f t="shared" si="23"/>
        <v>0</v>
      </c>
      <c r="D151" s="170">
        <f t="shared" si="26"/>
        <v>2460.4526655071218</v>
      </c>
      <c r="E151" s="171">
        <f t="shared" si="19"/>
        <v>0</v>
      </c>
      <c r="F151" s="170">
        <f t="shared" si="20"/>
        <v>0</v>
      </c>
      <c r="G151" s="170">
        <f t="shared" si="24"/>
        <v>0</v>
      </c>
      <c r="H151" s="170">
        <f t="shared" si="25"/>
        <v>0</v>
      </c>
      <c r="I151" s="170">
        <f t="shared" si="21"/>
        <v>0</v>
      </c>
      <c r="J151" s="170">
        <f>SUM($H$18:$H151)</f>
        <v>45254.319860854652</v>
      </c>
    </row>
    <row r="152" spans="1:10" x14ac:dyDescent="0.3">
      <c r="A152" s="168">
        <f t="shared" si="22"/>
        <v>135</v>
      </c>
      <c r="B152" s="169">
        <f t="shared" si="18"/>
        <v>50131</v>
      </c>
      <c r="C152" s="170">
        <f t="shared" si="23"/>
        <v>0</v>
      </c>
      <c r="D152" s="170">
        <f t="shared" si="26"/>
        <v>2460.4526655071218</v>
      </c>
      <c r="E152" s="171">
        <f t="shared" si="19"/>
        <v>0</v>
      </c>
      <c r="F152" s="170">
        <f t="shared" si="20"/>
        <v>0</v>
      </c>
      <c r="G152" s="170">
        <f t="shared" si="24"/>
        <v>0</v>
      </c>
      <c r="H152" s="170">
        <f t="shared" si="25"/>
        <v>0</v>
      </c>
      <c r="I152" s="170">
        <f t="shared" si="21"/>
        <v>0</v>
      </c>
      <c r="J152" s="170">
        <f>SUM($H$18:$H152)</f>
        <v>45254.319860854652</v>
      </c>
    </row>
    <row r="153" spans="1:10" x14ac:dyDescent="0.3">
      <c r="A153" s="168">
        <f t="shared" si="22"/>
        <v>136</v>
      </c>
      <c r="B153" s="169">
        <f t="shared" si="18"/>
        <v>50161</v>
      </c>
      <c r="C153" s="170">
        <f t="shared" si="23"/>
        <v>0</v>
      </c>
      <c r="D153" s="170">
        <f t="shared" si="26"/>
        <v>2460.4526655071218</v>
      </c>
      <c r="E153" s="171">
        <f t="shared" si="19"/>
        <v>0</v>
      </c>
      <c r="F153" s="170">
        <f t="shared" si="20"/>
        <v>0</v>
      </c>
      <c r="G153" s="170">
        <f t="shared" si="24"/>
        <v>0</v>
      </c>
      <c r="H153" s="170">
        <f t="shared" si="25"/>
        <v>0</v>
      </c>
      <c r="I153" s="170">
        <f t="shared" si="21"/>
        <v>0</v>
      </c>
      <c r="J153" s="170">
        <f>SUM($H$18:$H153)</f>
        <v>45254.319860854652</v>
      </c>
    </row>
    <row r="154" spans="1:10" x14ac:dyDescent="0.3">
      <c r="A154" s="168">
        <f t="shared" si="22"/>
        <v>137</v>
      </c>
      <c r="B154" s="169">
        <f t="shared" si="18"/>
        <v>50192</v>
      </c>
      <c r="C154" s="170">
        <f t="shared" si="23"/>
        <v>0</v>
      </c>
      <c r="D154" s="170">
        <f t="shared" si="26"/>
        <v>2460.4526655071218</v>
      </c>
      <c r="E154" s="171">
        <f t="shared" si="19"/>
        <v>0</v>
      </c>
      <c r="F154" s="170">
        <f t="shared" si="20"/>
        <v>0</v>
      </c>
      <c r="G154" s="170">
        <f t="shared" si="24"/>
        <v>0</v>
      </c>
      <c r="H154" s="170">
        <f t="shared" si="25"/>
        <v>0</v>
      </c>
      <c r="I154" s="170">
        <f t="shared" si="21"/>
        <v>0</v>
      </c>
      <c r="J154" s="170">
        <f>SUM($H$18:$H154)</f>
        <v>45254.319860854652</v>
      </c>
    </row>
    <row r="155" spans="1:10" x14ac:dyDescent="0.3">
      <c r="A155" s="168">
        <f t="shared" si="22"/>
        <v>138</v>
      </c>
      <c r="B155" s="169">
        <f t="shared" si="18"/>
        <v>50222</v>
      </c>
      <c r="C155" s="170">
        <f t="shared" si="23"/>
        <v>0</v>
      </c>
      <c r="D155" s="170">
        <f t="shared" si="26"/>
        <v>2460.4526655071218</v>
      </c>
      <c r="E155" s="171">
        <f t="shared" si="19"/>
        <v>0</v>
      </c>
      <c r="F155" s="170">
        <f t="shared" si="20"/>
        <v>0</v>
      </c>
      <c r="G155" s="170">
        <f t="shared" si="24"/>
        <v>0</v>
      </c>
      <c r="H155" s="170">
        <f t="shared" si="25"/>
        <v>0</v>
      </c>
      <c r="I155" s="170">
        <f t="shared" si="21"/>
        <v>0</v>
      </c>
      <c r="J155" s="170">
        <f>SUM($H$18:$H155)</f>
        <v>45254.319860854652</v>
      </c>
    </row>
    <row r="156" spans="1:10" x14ac:dyDescent="0.3">
      <c r="A156" s="168">
        <f t="shared" si="22"/>
        <v>139</v>
      </c>
      <c r="B156" s="169">
        <f t="shared" si="18"/>
        <v>50253</v>
      </c>
      <c r="C156" s="170">
        <f t="shared" si="23"/>
        <v>0</v>
      </c>
      <c r="D156" s="170">
        <f t="shared" si="26"/>
        <v>2460.4526655071218</v>
      </c>
      <c r="E156" s="171">
        <f t="shared" si="19"/>
        <v>0</v>
      </c>
      <c r="F156" s="170">
        <f t="shared" si="20"/>
        <v>0</v>
      </c>
      <c r="G156" s="170">
        <f t="shared" si="24"/>
        <v>0</v>
      </c>
      <c r="H156" s="170">
        <f t="shared" si="25"/>
        <v>0</v>
      </c>
      <c r="I156" s="170">
        <f t="shared" si="21"/>
        <v>0</v>
      </c>
      <c r="J156" s="170">
        <f>SUM($H$18:$H156)</f>
        <v>45254.319860854652</v>
      </c>
    </row>
    <row r="157" spans="1:10" x14ac:dyDescent="0.3">
      <c r="A157" s="168">
        <f t="shared" si="22"/>
        <v>140</v>
      </c>
      <c r="B157" s="169">
        <f t="shared" si="18"/>
        <v>50284</v>
      </c>
      <c r="C157" s="170">
        <f t="shared" si="23"/>
        <v>0</v>
      </c>
      <c r="D157" s="170">
        <f t="shared" si="26"/>
        <v>2460.4526655071218</v>
      </c>
      <c r="E157" s="171">
        <f t="shared" si="19"/>
        <v>0</v>
      </c>
      <c r="F157" s="170">
        <f t="shared" si="20"/>
        <v>0</v>
      </c>
      <c r="G157" s="170">
        <f t="shared" si="24"/>
        <v>0</v>
      </c>
      <c r="H157" s="170">
        <f t="shared" si="25"/>
        <v>0</v>
      </c>
      <c r="I157" s="170">
        <f t="shared" si="21"/>
        <v>0</v>
      </c>
      <c r="J157" s="170">
        <f>SUM($H$18:$H157)</f>
        <v>45254.319860854652</v>
      </c>
    </row>
    <row r="158" spans="1:10" x14ac:dyDescent="0.3">
      <c r="A158" s="168">
        <f t="shared" si="22"/>
        <v>141</v>
      </c>
      <c r="B158" s="169">
        <f t="shared" si="18"/>
        <v>50314</v>
      </c>
      <c r="C158" s="170">
        <f t="shared" si="23"/>
        <v>0</v>
      </c>
      <c r="D158" s="170">
        <f t="shared" si="26"/>
        <v>2460.4526655071218</v>
      </c>
      <c r="E158" s="171">
        <f t="shared" si="19"/>
        <v>0</v>
      </c>
      <c r="F158" s="170">
        <f t="shared" si="20"/>
        <v>0</v>
      </c>
      <c r="G158" s="170">
        <f t="shared" si="24"/>
        <v>0</v>
      </c>
      <c r="H158" s="170">
        <f t="shared" si="25"/>
        <v>0</v>
      </c>
      <c r="I158" s="170">
        <f t="shared" si="21"/>
        <v>0</v>
      </c>
      <c r="J158" s="170">
        <f>SUM($H$18:$H158)</f>
        <v>45254.319860854652</v>
      </c>
    </row>
    <row r="159" spans="1:10" x14ac:dyDescent="0.3">
      <c r="A159" s="168">
        <f t="shared" si="22"/>
        <v>142</v>
      </c>
      <c r="B159" s="169">
        <f t="shared" si="18"/>
        <v>50345</v>
      </c>
      <c r="C159" s="170">
        <f t="shared" si="23"/>
        <v>0</v>
      </c>
      <c r="D159" s="170">
        <f t="shared" si="26"/>
        <v>2460.4526655071218</v>
      </c>
      <c r="E159" s="171">
        <f t="shared" si="19"/>
        <v>0</v>
      </c>
      <c r="F159" s="170">
        <f t="shared" si="20"/>
        <v>0</v>
      </c>
      <c r="G159" s="170">
        <f t="shared" si="24"/>
        <v>0</v>
      </c>
      <c r="H159" s="170">
        <f t="shared" si="25"/>
        <v>0</v>
      </c>
      <c r="I159" s="170">
        <f t="shared" si="21"/>
        <v>0</v>
      </c>
      <c r="J159" s="170">
        <f>SUM($H$18:$H159)</f>
        <v>45254.319860854652</v>
      </c>
    </row>
    <row r="160" spans="1:10" x14ac:dyDescent="0.3">
      <c r="A160" s="168">
        <f t="shared" si="22"/>
        <v>143</v>
      </c>
      <c r="B160" s="169">
        <f t="shared" si="18"/>
        <v>50375</v>
      </c>
      <c r="C160" s="170">
        <f t="shared" si="23"/>
        <v>0</v>
      </c>
      <c r="D160" s="170">
        <f t="shared" si="26"/>
        <v>2460.4526655071218</v>
      </c>
      <c r="E160" s="171">
        <f t="shared" si="19"/>
        <v>0</v>
      </c>
      <c r="F160" s="170">
        <f t="shared" si="20"/>
        <v>0</v>
      </c>
      <c r="G160" s="170">
        <f t="shared" si="24"/>
        <v>0</v>
      </c>
      <c r="H160" s="170">
        <f t="shared" si="25"/>
        <v>0</v>
      </c>
      <c r="I160" s="170">
        <f t="shared" si="21"/>
        <v>0</v>
      </c>
      <c r="J160" s="170">
        <f>SUM($H$18:$H160)</f>
        <v>45254.319860854652</v>
      </c>
    </row>
    <row r="161" spans="1:10" x14ac:dyDescent="0.3">
      <c r="A161" s="168">
        <f t="shared" si="22"/>
        <v>144</v>
      </c>
      <c r="B161" s="169">
        <f t="shared" si="18"/>
        <v>50406</v>
      </c>
      <c r="C161" s="170">
        <f t="shared" si="23"/>
        <v>0</v>
      </c>
      <c r="D161" s="170">
        <f t="shared" si="26"/>
        <v>2460.4526655071218</v>
      </c>
      <c r="E161" s="171">
        <f t="shared" si="19"/>
        <v>0</v>
      </c>
      <c r="F161" s="170">
        <f t="shared" si="20"/>
        <v>0</v>
      </c>
      <c r="G161" s="170">
        <f t="shared" si="24"/>
        <v>0</v>
      </c>
      <c r="H161" s="170">
        <f t="shared" si="25"/>
        <v>0</v>
      </c>
      <c r="I161" s="170">
        <f t="shared" si="21"/>
        <v>0</v>
      </c>
      <c r="J161" s="170">
        <f>SUM($H$18:$H161)</f>
        <v>45254.319860854652</v>
      </c>
    </row>
    <row r="162" spans="1:10" x14ac:dyDescent="0.3">
      <c r="A162" s="168">
        <f t="shared" si="22"/>
        <v>145</v>
      </c>
      <c r="B162" s="169">
        <f t="shared" si="18"/>
        <v>50437</v>
      </c>
      <c r="C162" s="170">
        <f t="shared" si="23"/>
        <v>0</v>
      </c>
      <c r="D162" s="170">
        <f t="shared" si="26"/>
        <v>2460.4526655071218</v>
      </c>
      <c r="E162" s="171">
        <f t="shared" si="19"/>
        <v>0</v>
      </c>
      <c r="F162" s="170">
        <f t="shared" si="20"/>
        <v>0</v>
      </c>
      <c r="G162" s="170">
        <f t="shared" si="24"/>
        <v>0</v>
      </c>
      <c r="H162" s="170">
        <f t="shared" si="25"/>
        <v>0</v>
      </c>
      <c r="I162" s="170">
        <f t="shared" si="21"/>
        <v>0</v>
      </c>
      <c r="J162" s="170">
        <f>SUM($H$18:$H162)</f>
        <v>45254.319860854652</v>
      </c>
    </row>
    <row r="163" spans="1:10" x14ac:dyDescent="0.3">
      <c r="A163" s="168">
        <f t="shared" si="22"/>
        <v>146</v>
      </c>
      <c r="B163" s="169">
        <f t="shared" si="18"/>
        <v>50465</v>
      </c>
      <c r="C163" s="170">
        <f t="shared" si="23"/>
        <v>0</v>
      </c>
      <c r="D163" s="170">
        <f t="shared" si="26"/>
        <v>2460.4526655071218</v>
      </c>
      <c r="E163" s="171">
        <f t="shared" si="19"/>
        <v>0</v>
      </c>
      <c r="F163" s="170">
        <f t="shared" si="20"/>
        <v>0</v>
      </c>
      <c r="G163" s="170">
        <f t="shared" si="24"/>
        <v>0</v>
      </c>
      <c r="H163" s="170">
        <f t="shared" si="25"/>
        <v>0</v>
      </c>
      <c r="I163" s="170">
        <f t="shared" si="21"/>
        <v>0</v>
      </c>
      <c r="J163" s="170">
        <f>SUM($H$18:$H163)</f>
        <v>45254.319860854652</v>
      </c>
    </row>
    <row r="164" spans="1:10" x14ac:dyDescent="0.3">
      <c r="A164" s="168">
        <f t="shared" si="22"/>
        <v>147</v>
      </c>
      <c r="B164" s="169">
        <f t="shared" si="18"/>
        <v>50496</v>
      </c>
      <c r="C164" s="170">
        <f t="shared" si="23"/>
        <v>0</v>
      </c>
      <c r="D164" s="170">
        <f t="shared" si="26"/>
        <v>2460.4526655071218</v>
      </c>
      <c r="E164" s="171">
        <f t="shared" si="19"/>
        <v>0</v>
      </c>
      <c r="F164" s="170">
        <f t="shared" si="20"/>
        <v>0</v>
      </c>
      <c r="G164" s="170">
        <f t="shared" si="24"/>
        <v>0</v>
      </c>
      <c r="H164" s="170">
        <f t="shared" si="25"/>
        <v>0</v>
      </c>
      <c r="I164" s="170">
        <f t="shared" si="21"/>
        <v>0</v>
      </c>
      <c r="J164" s="170">
        <f>SUM($H$18:$H164)</f>
        <v>45254.319860854652</v>
      </c>
    </row>
    <row r="165" spans="1:10" x14ac:dyDescent="0.3">
      <c r="A165" s="168">
        <f t="shared" si="22"/>
        <v>148</v>
      </c>
      <c r="B165" s="169">
        <f t="shared" si="18"/>
        <v>50526</v>
      </c>
      <c r="C165" s="170">
        <f t="shared" si="23"/>
        <v>0</v>
      </c>
      <c r="D165" s="170">
        <f t="shared" si="26"/>
        <v>2460.4526655071218</v>
      </c>
      <c r="E165" s="171">
        <f t="shared" si="19"/>
        <v>0</v>
      </c>
      <c r="F165" s="170">
        <f t="shared" si="20"/>
        <v>0</v>
      </c>
      <c r="G165" s="170">
        <f t="shared" si="24"/>
        <v>0</v>
      </c>
      <c r="H165" s="170">
        <f t="shared" si="25"/>
        <v>0</v>
      </c>
      <c r="I165" s="170">
        <f t="shared" si="21"/>
        <v>0</v>
      </c>
      <c r="J165" s="170">
        <f>SUM($H$18:$H165)</f>
        <v>45254.319860854652</v>
      </c>
    </row>
    <row r="166" spans="1:10" x14ac:dyDescent="0.3">
      <c r="A166" s="168">
        <f t="shared" si="22"/>
        <v>149</v>
      </c>
      <c r="B166" s="169">
        <f t="shared" si="18"/>
        <v>50557</v>
      </c>
      <c r="C166" s="170">
        <f t="shared" si="23"/>
        <v>0</v>
      </c>
      <c r="D166" s="170">
        <f t="shared" si="26"/>
        <v>2460.4526655071218</v>
      </c>
      <c r="E166" s="171">
        <f t="shared" si="19"/>
        <v>0</v>
      </c>
      <c r="F166" s="170">
        <f t="shared" si="20"/>
        <v>0</v>
      </c>
      <c r="G166" s="170">
        <f t="shared" si="24"/>
        <v>0</v>
      </c>
      <c r="H166" s="170">
        <f t="shared" si="25"/>
        <v>0</v>
      </c>
      <c r="I166" s="170">
        <f t="shared" si="21"/>
        <v>0</v>
      </c>
      <c r="J166" s="170">
        <f>SUM($H$18:$H166)</f>
        <v>45254.319860854652</v>
      </c>
    </row>
    <row r="167" spans="1:10" x14ac:dyDescent="0.3">
      <c r="A167" s="168">
        <f t="shared" si="22"/>
        <v>150</v>
      </c>
      <c r="B167" s="169">
        <f t="shared" si="18"/>
        <v>50587</v>
      </c>
      <c r="C167" s="170">
        <f t="shared" si="23"/>
        <v>0</v>
      </c>
      <c r="D167" s="170">
        <f t="shared" si="26"/>
        <v>2460.4526655071218</v>
      </c>
      <c r="E167" s="171">
        <f t="shared" si="19"/>
        <v>0</v>
      </c>
      <c r="F167" s="170">
        <f t="shared" si="20"/>
        <v>0</v>
      </c>
      <c r="G167" s="170">
        <f t="shared" si="24"/>
        <v>0</v>
      </c>
      <c r="H167" s="170">
        <f t="shared" si="25"/>
        <v>0</v>
      </c>
      <c r="I167" s="170">
        <f t="shared" si="21"/>
        <v>0</v>
      </c>
      <c r="J167" s="170">
        <f>SUM($H$18:$H167)</f>
        <v>45254.319860854652</v>
      </c>
    </row>
    <row r="168" spans="1:10" x14ac:dyDescent="0.3">
      <c r="A168" s="168">
        <f t="shared" si="22"/>
        <v>151</v>
      </c>
      <c r="B168" s="169">
        <f t="shared" si="18"/>
        <v>50618</v>
      </c>
      <c r="C168" s="170">
        <f t="shared" si="23"/>
        <v>0</v>
      </c>
      <c r="D168" s="170">
        <f t="shared" si="26"/>
        <v>2460.4526655071218</v>
      </c>
      <c r="E168" s="171">
        <f t="shared" si="19"/>
        <v>0</v>
      </c>
      <c r="F168" s="170">
        <f t="shared" si="20"/>
        <v>0</v>
      </c>
      <c r="G168" s="170">
        <f t="shared" si="24"/>
        <v>0</v>
      </c>
      <c r="H168" s="170">
        <f t="shared" si="25"/>
        <v>0</v>
      </c>
      <c r="I168" s="170">
        <f t="shared" si="21"/>
        <v>0</v>
      </c>
      <c r="J168" s="170">
        <f>SUM($H$18:$H168)</f>
        <v>45254.319860854652</v>
      </c>
    </row>
    <row r="169" spans="1:10" x14ac:dyDescent="0.3">
      <c r="A169" s="168">
        <f t="shared" si="22"/>
        <v>152</v>
      </c>
      <c r="B169" s="169">
        <f t="shared" si="18"/>
        <v>50649</v>
      </c>
      <c r="C169" s="170">
        <f t="shared" si="23"/>
        <v>0</v>
      </c>
      <c r="D169" s="170">
        <f t="shared" si="26"/>
        <v>2460.4526655071218</v>
      </c>
      <c r="E169" s="171">
        <f t="shared" si="19"/>
        <v>0</v>
      </c>
      <c r="F169" s="170">
        <f t="shared" si="20"/>
        <v>0</v>
      </c>
      <c r="G169" s="170">
        <f t="shared" si="24"/>
        <v>0</v>
      </c>
      <c r="H169" s="170">
        <f t="shared" si="25"/>
        <v>0</v>
      </c>
      <c r="I169" s="170">
        <f t="shared" si="21"/>
        <v>0</v>
      </c>
      <c r="J169" s="170">
        <f>SUM($H$18:$H169)</f>
        <v>45254.319860854652</v>
      </c>
    </row>
    <row r="170" spans="1:10" x14ac:dyDescent="0.3">
      <c r="A170" s="168">
        <f t="shared" si="22"/>
        <v>153</v>
      </c>
      <c r="B170" s="169">
        <f t="shared" si="18"/>
        <v>50679</v>
      </c>
      <c r="C170" s="170">
        <f t="shared" si="23"/>
        <v>0</v>
      </c>
      <c r="D170" s="170">
        <f t="shared" si="26"/>
        <v>2460.4526655071218</v>
      </c>
      <c r="E170" s="171">
        <f t="shared" si="19"/>
        <v>0</v>
      </c>
      <c r="F170" s="170">
        <f t="shared" si="20"/>
        <v>0</v>
      </c>
      <c r="G170" s="170">
        <f t="shared" si="24"/>
        <v>0</v>
      </c>
      <c r="H170" s="170">
        <f t="shared" si="25"/>
        <v>0</v>
      </c>
      <c r="I170" s="170">
        <f t="shared" si="21"/>
        <v>0</v>
      </c>
      <c r="J170" s="170">
        <f>SUM($H$18:$H170)</f>
        <v>45254.319860854652</v>
      </c>
    </row>
    <row r="171" spans="1:10" x14ac:dyDescent="0.3">
      <c r="A171" s="168">
        <f t="shared" si="22"/>
        <v>154</v>
      </c>
      <c r="B171" s="169">
        <f t="shared" si="18"/>
        <v>50710</v>
      </c>
      <c r="C171" s="170">
        <f t="shared" si="23"/>
        <v>0</v>
      </c>
      <c r="D171" s="170">
        <f t="shared" si="26"/>
        <v>2460.4526655071218</v>
      </c>
      <c r="E171" s="171">
        <f t="shared" si="19"/>
        <v>0</v>
      </c>
      <c r="F171" s="170">
        <f t="shared" si="20"/>
        <v>0</v>
      </c>
      <c r="G171" s="170">
        <f t="shared" si="24"/>
        <v>0</v>
      </c>
      <c r="H171" s="170">
        <f t="shared" si="25"/>
        <v>0</v>
      </c>
      <c r="I171" s="170">
        <f t="shared" si="21"/>
        <v>0</v>
      </c>
      <c r="J171" s="170">
        <f>SUM($H$18:$H171)</f>
        <v>45254.319860854652</v>
      </c>
    </row>
    <row r="172" spans="1:10" x14ac:dyDescent="0.3">
      <c r="A172" s="168">
        <f t="shared" si="22"/>
        <v>155</v>
      </c>
      <c r="B172" s="169">
        <f t="shared" si="18"/>
        <v>50740</v>
      </c>
      <c r="C172" s="170">
        <f t="shared" si="23"/>
        <v>0</v>
      </c>
      <c r="D172" s="170">
        <f t="shared" si="26"/>
        <v>2460.4526655071218</v>
      </c>
      <c r="E172" s="171">
        <f t="shared" si="19"/>
        <v>0</v>
      </c>
      <c r="F172" s="170">
        <f t="shared" si="20"/>
        <v>0</v>
      </c>
      <c r="G172" s="170">
        <f t="shared" si="24"/>
        <v>0</v>
      </c>
      <c r="H172" s="170">
        <f t="shared" si="25"/>
        <v>0</v>
      </c>
      <c r="I172" s="170">
        <f t="shared" si="21"/>
        <v>0</v>
      </c>
      <c r="J172" s="170">
        <f>SUM($H$18:$H172)</f>
        <v>45254.319860854652</v>
      </c>
    </row>
    <row r="173" spans="1:10" x14ac:dyDescent="0.3">
      <c r="A173" s="168">
        <f t="shared" si="22"/>
        <v>156</v>
      </c>
      <c r="B173" s="169">
        <f t="shared" si="18"/>
        <v>50771</v>
      </c>
      <c r="C173" s="170">
        <f t="shared" si="23"/>
        <v>0</v>
      </c>
      <c r="D173" s="170">
        <f t="shared" si="26"/>
        <v>2460.4526655071218</v>
      </c>
      <c r="E173" s="171">
        <f t="shared" si="19"/>
        <v>0</v>
      </c>
      <c r="F173" s="170">
        <f t="shared" si="20"/>
        <v>0</v>
      </c>
      <c r="G173" s="170">
        <f t="shared" si="24"/>
        <v>0</v>
      </c>
      <c r="H173" s="170">
        <f t="shared" si="25"/>
        <v>0</v>
      </c>
      <c r="I173" s="170">
        <f t="shared" si="21"/>
        <v>0</v>
      </c>
      <c r="J173" s="170">
        <f>SUM($H$18:$H173)</f>
        <v>45254.319860854652</v>
      </c>
    </row>
    <row r="174" spans="1:10" x14ac:dyDescent="0.3">
      <c r="A174" s="168">
        <f t="shared" si="22"/>
        <v>157</v>
      </c>
      <c r="B174" s="169">
        <f t="shared" si="18"/>
        <v>50802</v>
      </c>
      <c r="C174" s="170">
        <f t="shared" si="23"/>
        <v>0</v>
      </c>
      <c r="D174" s="170">
        <f t="shared" si="26"/>
        <v>2460.4526655071218</v>
      </c>
      <c r="E174" s="171">
        <f t="shared" si="19"/>
        <v>0</v>
      </c>
      <c r="F174" s="170">
        <f t="shared" si="20"/>
        <v>0</v>
      </c>
      <c r="G174" s="170">
        <f t="shared" si="24"/>
        <v>0</v>
      </c>
      <c r="H174" s="170">
        <f t="shared" si="25"/>
        <v>0</v>
      </c>
      <c r="I174" s="170">
        <f t="shared" si="21"/>
        <v>0</v>
      </c>
      <c r="J174" s="170">
        <f>SUM($H$18:$H174)</f>
        <v>45254.319860854652</v>
      </c>
    </row>
    <row r="175" spans="1:10" x14ac:dyDescent="0.3">
      <c r="A175" s="168">
        <f t="shared" si="22"/>
        <v>158</v>
      </c>
      <c r="B175" s="169">
        <f t="shared" si="18"/>
        <v>50830</v>
      </c>
      <c r="C175" s="170">
        <f t="shared" si="23"/>
        <v>0</v>
      </c>
      <c r="D175" s="170">
        <f t="shared" si="26"/>
        <v>2460.4526655071218</v>
      </c>
      <c r="E175" s="171">
        <f t="shared" si="19"/>
        <v>0</v>
      </c>
      <c r="F175" s="170">
        <f t="shared" si="20"/>
        <v>0</v>
      </c>
      <c r="G175" s="170">
        <f t="shared" si="24"/>
        <v>0</v>
      </c>
      <c r="H175" s="170">
        <f t="shared" si="25"/>
        <v>0</v>
      </c>
      <c r="I175" s="170">
        <f t="shared" si="21"/>
        <v>0</v>
      </c>
      <c r="J175" s="170">
        <f>SUM($H$18:$H175)</f>
        <v>45254.319860854652</v>
      </c>
    </row>
    <row r="176" spans="1:10" x14ac:dyDescent="0.3">
      <c r="A176" s="168">
        <f t="shared" si="22"/>
        <v>159</v>
      </c>
      <c r="B176" s="169">
        <f t="shared" si="18"/>
        <v>50861</v>
      </c>
      <c r="C176" s="170">
        <f t="shared" si="23"/>
        <v>0</v>
      </c>
      <c r="D176" s="170">
        <f t="shared" si="26"/>
        <v>2460.4526655071218</v>
      </c>
      <c r="E176" s="171">
        <f t="shared" si="19"/>
        <v>0</v>
      </c>
      <c r="F176" s="170">
        <f t="shared" si="20"/>
        <v>0</v>
      </c>
      <c r="G176" s="170">
        <f t="shared" si="24"/>
        <v>0</v>
      </c>
      <c r="H176" s="170">
        <f t="shared" si="25"/>
        <v>0</v>
      </c>
      <c r="I176" s="170">
        <f t="shared" si="21"/>
        <v>0</v>
      </c>
      <c r="J176" s="170">
        <f>SUM($H$18:$H176)</f>
        <v>45254.319860854652</v>
      </c>
    </row>
    <row r="177" spans="1:10" x14ac:dyDescent="0.3">
      <c r="A177" s="168">
        <f t="shared" si="22"/>
        <v>160</v>
      </c>
      <c r="B177" s="169">
        <f t="shared" si="18"/>
        <v>50891</v>
      </c>
      <c r="C177" s="170">
        <f t="shared" si="23"/>
        <v>0</v>
      </c>
      <c r="D177" s="170">
        <f t="shared" si="26"/>
        <v>2460.4526655071218</v>
      </c>
      <c r="E177" s="171">
        <f t="shared" si="19"/>
        <v>0</v>
      </c>
      <c r="F177" s="170">
        <f t="shared" si="20"/>
        <v>0</v>
      </c>
      <c r="G177" s="170">
        <f t="shared" si="24"/>
        <v>0</v>
      </c>
      <c r="H177" s="170">
        <f t="shared" si="25"/>
        <v>0</v>
      </c>
      <c r="I177" s="170">
        <f t="shared" si="21"/>
        <v>0</v>
      </c>
      <c r="J177" s="170">
        <f>SUM($H$18:$H177)</f>
        <v>45254.319860854652</v>
      </c>
    </row>
    <row r="178" spans="1:10" x14ac:dyDescent="0.3">
      <c r="A178" s="168">
        <f t="shared" si="22"/>
        <v>161</v>
      </c>
      <c r="B178" s="169">
        <f t="shared" si="18"/>
        <v>50922</v>
      </c>
      <c r="C178" s="170">
        <f t="shared" si="23"/>
        <v>0</v>
      </c>
      <c r="D178" s="170">
        <f t="shared" si="26"/>
        <v>2460.4526655071218</v>
      </c>
      <c r="E178" s="171">
        <f t="shared" si="19"/>
        <v>0</v>
      </c>
      <c r="F178" s="170">
        <f t="shared" si="20"/>
        <v>0</v>
      </c>
      <c r="G178" s="170">
        <f t="shared" si="24"/>
        <v>0</v>
      </c>
      <c r="H178" s="170">
        <f t="shared" si="25"/>
        <v>0</v>
      </c>
      <c r="I178" s="170">
        <f t="shared" si="21"/>
        <v>0</v>
      </c>
      <c r="J178" s="170">
        <f>SUM($H$18:$H178)</f>
        <v>45254.319860854652</v>
      </c>
    </row>
    <row r="179" spans="1:10" x14ac:dyDescent="0.3">
      <c r="A179" s="168">
        <f t="shared" si="22"/>
        <v>162</v>
      </c>
      <c r="B179" s="169">
        <f t="shared" si="18"/>
        <v>50952</v>
      </c>
      <c r="C179" s="170">
        <f t="shared" si="23"/>
        <v>0</v>
      </c>
      <c r="D179" s="170">
        <f t="shared" si="26"/>
        <v>2460.4526655071218</v>
      </c>
      <c r="E179" s="171">
        <f t="shared" si="19"/>
        <v>0</v>
      </c>
      <c r="F179" s="170">
        <f t="shared" si="20"/>
        <v>0</v>
      </c>
      <c r="G179" s="170">
        <f t="shared" si="24"/>
        <v>0</v>
      </c>
      <c r="H179" s="170">
        <f t="shared" si="25"/>
        <v>0</v>
      </c>
      <c r="I179" s="170">
        <f t="shared" si="21"/>
        <v>0</v>
      </c>
      <c r="J179" s="170">
        <f>SUM($H$18:$H179)</f>
        <v>45254.319860854652</v>
      </c>
    </row>
    <row r="180" spans="1:10" x14ac:dyDescent="0.3">
      <c r="A180" s="168">
        <f t="shared" si="22"/>
        <v>163</v>
      </c>
      <c r="B180" s="169">
        <f t="shared" si="18"/>
        <v>50983</v>
      </c>
      <c r="C180" s="170">
        <f t="shared" si="23"/>
        <v>0</v>
      </c>
      <c r="D180" s="170">
        <f t="shared" si="26"/>
        <v>2460.4526655071218</v>
      </c>
      <c r="E180" s="171">
        <f t="shared" si="19"/>
        <v>0</v>
      </c>
      <c r="F180" s="170">
        <f t="shared" si="20"/>
        <v>0</v>
      </c>
      <c r="G180" s="170">
        <f t="shared" si="24"/>
        <v>0</v>
      </c>
      <c r="H180" s="170">
        <f t="shared" si="25"/>
        <v>0</v>
      </c>
      <c r="I180" s="170">
        <f t="shared" si="21"/>
        <v>0</v>
      </c>
      <c r="J180" s="170">
        <f>SUM($H$18:$H180)</f>
        <v>45254.319860854652</v>
      </c>
    </row>
    <row r="181" spans="1:10" x14ac:dyDescent="0.3">
      <c r="A181" s="168">
        <f t="shared" si="22"/>
        <v>164</v>
      </c>
      <c r="B181" s="169">
        <f t="shared" si="18"/>
        <v>51014</v>
      </c>
      <c r="C181" s="170">
        <f t="shared" si="23"/>
        <v>0</v>
      </c>
      <c r="D181" s="170">
        <f t="shared" si="26"/>
        <v>2460.4526655071218</v>
      </c>
      <c r="E181" s="171">
        <f t="shared" si="19"/>
        <v>0</v>
      </c>
      <c r="F181" s="170">
        <f t="shared" si="20"/>
        <v>0</v>
      </c>
      <c r="G181" s="170">
        <f t="shared" si="24"/>
        <v>0</v>
      </c>
      <c r="H181" s="170">
        <f t="shared" si="25"/>
        <v>0</v>
      </c>
      <c r="I181" s="170">
        <f t="shared" si="21"/>
        <v>0</v>
      </c>
      <c r="J181" s="170">
        <f>SUM($H$18:$H181)</f>
        <v>45254.319860854652</v>
      </c>
    </row>
    <row r="182" spans="1:10" x14ac:dyDescent="0.3">
      <c r="A182" s="168">
        <f t="shared" si="22"/>
        <v>165</v>
      </c>
      <c r="B182" s="169">
        <f t="shared" si="18"/>
        <v>51044</v>
      </c>
      <c r="C182" s="170">
        <f t="shared" si="23"/>
        <v>0</v>
      </c>
      <c r="D182" s="170">
        <f t="shared" si="26"/>
        <v>2460.4526655071218</v>
      </c>
      <c r="E182" s="171">
        <f t="shared" si="19"/>
        <v>0</v>
      </c>
      <c r="F182" s="170">
        <f t="shared" si="20"/>
        <v>0</v>
      </c>
      <c r="G182" s="170">
        <f t="shared" si="24"/>
        <v>0</v>
      </c>
      <c r="H182" s="170">
        <f t="shared" si="25"/>
        <v>0</v>
      </c>
      <c r="I182" s="170">
        <f t="shared" si="21"/>
        <v>0</v>
      </c>
      <c r="J182" s="170">
        <f>SUM($H$18:$H182)</f>
        <v>45254.319860854652</v>
      </c>
    </row>
    <row r="183" spans="1:10" x14ac:dyDescent="0.3">
      <c r="A183" s="168">
        <f t="shared" si="22"/>
        <v>166</v>
      </c>
      <c r="B183" s="169">
        <f t="shared" si="18"/>
        <v>51075</v>
      </c>
      <c r="C183" s="170">
        <f t="shared" si="23"/>
        <v>0</v>
      </c>
      <c r="D183" s="170">
        <f t="shared" si="26"/>
        <v>2460.4526655071218</v>
      </c>
      <c r="E183" s="171">
        <f t="shared" si="19"/>
        <v>0</v>
      </c>
      <c r="F183" s="170">
        <f t="shared" si="20"/>
        <v>0</v>
      </c>
      <c r="G183" s="170">
        <f t="shared" si="24"/>
        <v>0</v>
      </c>
      <c r="H183" s="170">
        <f t="shared" si="25"/>
        <v>0</v>
      </c>
      <c r="I183" s="170">
        <f t="shared" si="21"/>
        <v>0</v>
      </c>
      <c r="J183" s="170">
        <f>SUM($H$18:$H183)</f>
        <v>45254.319860854652</v>
      </c>
    </row>
    <row r="184" spans="1:10" x14ac:dyDescent="0.3">
      <c r="A184" s="168">
        <f t="shared" si="22"/>
        <v>167</v>
      </c>
      <c r="B184" s="169">
        <f t="shared" si="18"/>
        <v>51105</v>
      </c>
      <c r="C184" s="170">
        <f t="shared" si="23"/>
        <v>0</v>
      </c>
      <c r="D184" s="170">
        <f t="shared" si="26"/>
        <v>2460.4526655071218</v>
      </c>
      <c r="E184" s="171">
        <f t="shared" si="19"/>
        <v>0</v>
      </c>
      <c r="F184" s="170">
        <f t="shared" si="20"/>
        <v>0</v>
      </c>
      <c r="G184" s="170">
        <f t="shared" si="24"/>
        <v>0</v>
      </c>
      <c r="H184" s="170">
        <f t="shared" si="25"/>
        <v>0</v>
      </c>
      <c r="I184" s="170">
        <f t="shared" si="21"/>
        <v>0</v>
      </c>
      <c r="J184" s="170">
        <f>SUM($H$18:$H184)</f>
        <v>45254.319860854652</v>
      </c>
    </row>
    <row r="185" spans="1:10" x14ac:dyDescent="0.3">
      <c r="A185" s="168">
        <f t="shared" si="22"/>
        <v>168</v>
      </c>
      <c r="B185" s="169">
        <f t="shared" si="18"/>
        <v>51136</v>
      </c>
      <c r="C185" s="170">
        <f t="shared" si="23"/>
        <v>0</v>
      </c>
      <c r="D185" s="170">
        <f t="shared" si="26"/>
        <v>2460.4526655071218</v>
      </c>
      <c r="E185" s="171">
        <f t="shared" si="19"/>
        <v>0</v>
      </c>
      <c r="F185" s="170">
        <f t="shared" si="20"/>
        <v>0</v>
      </c>
      <c r="G185" s="170">
        <f t="shared" si="24"/>
        <v>0</v>
      </c>
      <c r="H185" s="170">
        <f t="shared" si="25"/>
        <v>0</v>
      </c>
      <c r="I185" s="170">
        <f t="shared" si="21"/>
        <v>0</v>
      </c>
      <c r="J185" s="170">
        <f>SUM($H$18:$H185)</f>
        <v>45254.319860854652</v>
      </c>
    </row>
    <row r="186" spans="1:10" x14ac:dyDescent="0.3">
      <c r="A186" s="168">
        <f t="shared" si="22"/>
        <v>169</v>
      </c>
      <c r="B186" s="169">
        <f t="shared" si="18"/>
        <v>51167</v>
      </c>
      <c r="C186" s="170">
        <f t="shared" si="23"/>
        <v>0</v>
      </c>
      <c r="D186" s="170">
        <f t="shared" si="26"/>
        <v>2460.4526655071218</v>
      </c>
      <c r="E186" s="171">
        <f t="shared" si="19"/>
        <v>0</v>
      </c>
      <c r="F186" s="170">
        <f t="shared" si="20"/>
        <v>0</v>
      </c>
      <c r="G186" s="170">
        <f t="shared" si="24"/>
        <v>0</v>
      </c>
      <c r="H186" s="170">
        <f t="shared" si="25"/>
        <v>0</v>
      </c>
      <c r="I186" s="170">
        <f t="shared" si="21"/>
        <v>0</v>
      </c>
      <c r="J186" s="170">
        <f>SUM($H$18:$H186)</f>
        <v>45254.319860854652</v>
      </c>
    </row>
    <row r="187" spans="1:10" x14ac:dyDescent="0.3">
      <c r="A187" s="168">
        <f t="shared" si="22"/>
        <v>170</v>
      </c>
      <c r="B187" s="169">
        <f t="shared" si="18"/>
        <v>51196</v>
      </c>
      <c r="C187" s="170">
        <f t="shared" si="23"/>
        <v>0</v>
      </c>
      <c r="D187" s="170">
        <f t="shared" si="26"/>
        <v>2460.4526655071218</v>
      </c>
      <c r="E187" s="171">
        <f t="shared" si="19"/>
        <v>0</v>
      </c>
      <c r="F187" s="170">
        <f t="shared" si="20"/>
        <v>0</v>
      </c>
      <c r="G187" s="170">
        <f t="shared" si="24"/>
        <v>0</v>
      </c>
      <c r="H187" s="170">
        <f t="shared" si="25"/>
        <v>0</v>
      </c>
      <c r="I187" s="170">
        <f t="shared" si="21"/>
        <v>0</v>
      </c>
      <c r="J187" s="170">
        <f>SUM($H$18:$H187)</f>
        <v>45254.319860854652</v>
      </c>
    </row>
    <row r="188" spans="1:10" x14ac:dyDescent="0.3">
      <c r="A188" s="168">
        <f t="shared" si="22"/>
        <v>171</v>
      </c>
      <c r="B188" s="169">
        <f t="shared" si="18"/>
        <v>51227</v>
      </c>
      <c r="C188" s="170">
        <f t="shared" si="23"/>
        <v>0</v>
      </c>
      <c r="D188" s="170">
        <f t="shared" si="26"/>
        <v>2460.4526655071218</v>
      </c>
      <c r="E188" s="171">
        <f t="shared" si="19"/>
        <v>0</v>
      </c>
      <c r="F188" s="170">
        <f t="shared" si="20"/>
        <v>0</v>
      </c>
      <c r="G188" s="170">
        <f t="shared" si="24"/>
        <v>0</v>
      </c>
      <c r="H188" s="170">
        <f t="shared" si="25"/>
        <v>0</v>
      </c>
      <c r="I188" s="170">
        <f t="shared" si="21"/>
        <v>0</v>
      </c>
      <c r="J188" s="170">
        <f>SUM($H$18:$H188)</f>
        <v>45254.319860854652</v>
      </c>
    </row>
    <row r="189" spans="1:10" x14ac:dyDescent="0.3">
      <c r="A189" s="168">
        <f t="shared" si="22"/>
        <v>172</v>
      </c>
      <c r="B189" s="169">
        <f t="shared" si="18"/>
        <v>51257</v>
      </c>
      <c r="C189" s="170">
        <f t="shared" si="23"/>
        <v>0</v>
      </c>
      <c r="D189" s="170">
        <f t="shared" si="26"/>
        <v>2460.4526655071218</v>
      </c>
      <c r="E189" s="171">
        <f t="shared" si="19"/>
        <v>0</v>
      </c>
      <c r="F189" s="170">
        <f t="shared" si="20"/>
        <v>0</v>
      </c>
      <c r="G189" s="170">
        <f t="shared" si="24"/>
        <v>0</v>
      </c>
      <c r="H189" s="170">
        <f t="shared" si="25"/>
        <v>0</v>
      </c>
      <c r="I189" s="170">
        <f t="shared" si="21"/>
        <v>0</v>
      </c>
      <c r="J189" s="170">
        <f>SUM($H$18:$H189)</f>
        <v>45254.319860854652</v>
      </c>
    </row>
    <row r="190" spans="1:10" x14ac:dyDescent="0.3">
      <c r="A190" s="168">
        <f t="shared" si="22"/>
        <v>173</v>
      </c>
      <c r="B190" s="169">
        <f t="shared" si="18"/>
        <v>51288</v>
      </c>
      <c r="C190" s="170">
        <f t="shared" si="23"/>
        <v>0</v>
      </c>
      <c r="D190" s="170">
        <f t="shared" si="26"/>
        <v>2460.4526655071218</v>
      </c>
      <c r="E190" s="171">
        <f t="shared" si="19"/>
        <v>0</v>
      </c>
      <c r="F190" s="170">
        <f t="shared" si="20"/>
        <v>0</v>
      </c>
      <c r="G190" s="170">
        <f t="shared" si="24"/>
        <v>0</v>
      </c>
      <c r="H190" s="170">
        <f t="shared" si="25"/>
        <v>0</v>
      </c>
      <c r="I190" s="170">
        <f t="shared" si="21"/>
        <v>0</v>
      </c>
      <c r="J190" s="170">
        <f>SUM($H$18:$H190)</f>
        <v>45254.319860854652</v>
      </c>
    </row>
    <row r="191" spans="1:10" x14ac:dyDescent="0.3">
      <c r="A191" s="168">
        <f t="shared" si="22"/>
        <v>174</v>
      </c>
      <c r="B191" s="169">
        <f t="shared" si="18"/>
        <v>51318</v>
      </c>
      <c r="C191" s="170">
        <f t="shared" si="23"/>
        <v>0</v>
      </c>
      <c r="D191" s="170">
        <f t="shared" si="26"/>
        <v>2460.4526655071218</v>
      </c>
      <c r="E191" s="171">
        <f t="shared" si="19"/>
        <v>0</v>
      </c>
      <c r="F191" s="170">
        <f t="shared" si="20"/>
        <v>0</v>
      </c>
      <c r="G191" s="170">
        <f t="shared" si="24"/>
        <v>0</v>
      </c>
      <c r="H191" s="170">
        <f t="shared" si="25"/>
        <v>0</v>
      </c>
      <c r="I191" s="170">
        <f t="shared" si="21"/>
        <v>0</v>
      </c>
      <c r="J191" s="170">
        <f>SUM($H$18:$H191)</f>
        <v>45254.319860854652</v>
      </c>
    </row>
    <row r="192" spans="1:10" x14ac:dyDescent="0.3">
      <c r="A192" s="168">
        <f t="shared" si="22"/>
        <v>175</v>
      </c>
      <c r="B192" s="169">
        <f t="shared" si="18"/>
        <v>51349</v>
      </c>
      <c r="C192" s="170">
        <f t="shared" si="23"/>
        <v>0</v>
      </c>
      <c r="D192" s="170">
        <f t="shared" si="26"/>
        <v>2460.4526655071218</v>
      </c>
      <c r="E192" s="171">
        <f t="shared" si="19"/>
        <v>0</v>
      </c>
      <c r="F192" s="170">
        <f t="shared" si="20"/>
        <v>0</v>
      </c>
      <c r="G192" s="170">
        <f t="shared" si="24"/>
        <v>0</v>
      </c>
      <c r="H192" s="170">
        <f t="shared" si="25"/>
        <v>0</v>
      </c>
      <c r="I192" s="170">
        <f t="shared" si="21"/>
        <v>0</v>
      </c>
      <c r="J192" s="170">
        <f>SUM($H$18:$H192)</f>
        <v>45254.319860854652</v>
      </c>
    </row>
    <row r="193" spans="1:10" x14ac:dyDescent="0.3">
      <c r="A193" s="168">
        <f t="shared" si="22"/>
        <v>176</v>
      </c>
      <c r="B193" s="169">
        <f t="shared" si="18"/>
        <v>51380</v>
      </c>
      <c r="C193" s="170">
        <f t="shared" si="23"/>
        <v>0</v>
      </c>
      <c r="D193" s="170">
        <f t="shared" si="26"/>
        <v>2460.4526655071218</v>
      </c>
      <c r="E193" s="171">
        <f t="shared" si="19"/>
        <v>0</v>
      </c>
      <c r="F193" s="170">
        <f t="shared" si="20"/>
        <v>0</v>
      </c>
      <c r="G193" s="170">
        <f t="shared" si="24"/>
        <v>0</v>
      </c>
      <c r="H193" s="170">
        <f t="shared" si="25"/>
        <v>0</v>
      </c>
      <c r="I193" s="170">
        <f t="shared" si="21"/>
        <v>0</v>
      </c>
      <c r="J193" s="170">
        <f>SUM($H$18:$H193)</f>
        <v>45254.319860854652</v>
      </c>
    </row>
    <row r="194" spans="1:10" x14ac:dyDescent="0.3">
      <c r="A194" s="168">
        <f t="shared" si="22"/>
        <v>177</v>
      </c>
      <c r="B194" s="169">
        <f t="shared" si="18"/>
        <v>51410</v>
      </c>
      <c r="C194" s="170">
        <f t="shared" si="23"/>
        <v>0</v>
      </c>
      <c r="D194" s="170">
        <f t="shared" si="26"/>
        <v>2460.4526655071218</v>
      </c>
      <c r="E194" s="171">
        <f t="shared" si="19"/>
        <v>0</v>
      </c>
      <c r="F194" s="170">
        <f t="shared" si="20"/>
        <v>0</v>
      </c>
      <c r="G194" s="170">
        <f t="shared" si="24"/>
        <v>0</v>
      </c>
      <c r="H194" s="170">
        <f t="shared" si="25"/>
        <v>0</v>
      </c>
      <c r="I194" s="170">
        <f t="shared" si="21"/>
        <v>0</v>
      </c>
      <c r="J194" s="170">
        <f>SUM($H$18:$H194)</f>
        <v>45254.319860854652</v>
      </c>
    </row>
    <row r="195" spans="1:10" x14ac:dyDescent="0.3">
      <c r="A195" s="168">
        <f t="shared" si="22"/>
        <v>178</v>
      </c>
      <c r="B195" s="169">
        <f t="shared" si="18"/>
        <v>51441</v>
      </c>
      <c r="C195" s="170">
        <f t="shared" si="23"/>
        <v>0</v>
      </c>
      <c r="D195" s="170">
        <f t="shared" si="26"/>
        <v>2460.4526655071218</v>
      </c>
      <c r="E195" s="171">
        <f t="shared" si="19"/>
        <v>0</v>
      </c>
      <c r="F195" s="170">
        <f t="shared" si="20"/>
        <v>0</v>
      </c>
      <c r="G195" s="170">
        <f t="shared" si="24"/>
        <v>0</v>
      </c>
      <c r="H195" s="170">
        <f t="shared" si="25"/>
        <v>0</v>
      </c>
      <c r="I195" s="170">
        <f t="shared" si="21"/>
        <v>0</v>
      </c>
      <c r="J195" s="170">
        <f>SUM($H$18:$H195)</f>
        <v>45254.319860854652</v>
      </c>
    </row>
    <row r="196" spans="1:10" x14ac:dyDescent="0.3">
      <c r="A196" s="168">
        <f t="shared" si="22"/>
        <v>179</v>
      </c>
      <c r="B196" s="169">
        <f t="shared" si="18"/>
        <v>51471</v>
      </c>
      <c r="C196" s="170">
        <f t="shared" si="23"/>
        <v>0</v>
      </c>
      <c r="D196" s="170">
        <f t="shared" si="26"/>
        <v>2460.4526655071218</v>
      </c>
      <c r="E196" s="171">
        <f t="shared" si="19"/>
        <v>0</v>
      </c>
      <c r="F196" s="170">
        <f t="shared" si="20"/>
        <v>0</v>
      </c>
      <c r="G196" s="170">
        <f t="shared" si="24"/>
        <v>0</v>
      </c>
      <c r="H196" s="170">
        <f t="shared" si="25"/>
        <v>0</v>
      </c>
      <c r="I196" s="170">
        <f t="shared" si="21"/>
        <v>0</v>
      </c>
      <c r="J196" s="170">
        <f>SUM($H$18:$H196)</f>
        <v>45254.319860854652</v>
      </c>
    </row>
    <row r="197" spans="1:10" x14ac:dyDescent="0.3">
      <c r="A197" s="168">
        <f t="shared" si="22"/>
        <v>180</v>
      </c>
      <c r="B197" s="169">
        <f t="shared" si="18"/>
        <v>51502</v>
      </c>
      <c r="C197" s="170">
        <f t="shared" si="23"/>
        <v>0</v>
      </c>
      <c r="D197" s="170">
        <f t="shared" si="26"/>
        <v>2460.4526655071218</v>
      </c>
      <c r="E197" s="171">
        <f t="shared" si="19"/>
        <v>0</v>
      </c>
      <c r="F197" s="170">
        <f t="shared" si="20"/>
        <v>0</v>
      </c>
      <c r="G197" s="170">
        <f t="shared" si="24"/>
        <v>0</v>
      </c>
      <c r="H197" s="170">
        <f t="shared" si="25"/>
        <v>0</v>
      </c>
      <c r="I197" s="170">
        <f t="shared" si="21"/>
        <v>0</v>
      </c>
      <c r="J197" s="170">
        <f>SUM($H$18:$H197)</f>
        <v>45254.319860854652</v>
      </c>
    </row>
    <row r="198" spans="1:10" x14ac:dyDescent="0.3">
      <c r="A198" s="168">
        <f t="shared" si="22"/>
        <v>181</v>
      </c>
      <c r="B198" s="169">
        <f t="shared" si="18"/>
        <v>51533</v>
      </c>
      <c r="C198" s="170">
        <f t="shared" si="23"/>
        <v>0</v>
      </c>
      <c r="D198" s="170">
        <f t="shared" si="26"/>
        <v>2460.4526655071218</v>
      </c>
      <c r="E198" s="171">
        <f t="shared" si="19"/>
        <v>0</v>
      </c>
      <c r="F198" s="170">
        <f t="shared" si="20"/>
        <v>0</v>
      </c>
      <c r="G198" s="170">
        <f t="shared" si="24"/>
        <v>0</v>
      </c>
      <c r="H198" s="170">
        <f t="shared" si="25"/>
        <v>0</v>
      </c>
      <c r="I198" s="170">
        <f t="shared" si="21"/>
        <v>0</v>
      </c>
      <c r="J198" s="170">
        <f>SUM($H$18:$H198)</f>
        <v>45254.319860854652</v>
      </c>
    </row>
    <row r="199" spans="1:10" x14ac:dyDescent="0.3">
      <c r="A199" s="168">
        <f t="shared" si="22"/>
        <v>182</v>
      </c>
      <c r="B199" s="169">
        <f t="shared" si="18"/>
        <v>51561</v>
      </c>
      <c r="C199" s="170">
        <f t="shared" si="23"/>
        <v>0</v>
      </c>
      <c r="D199" s="170">
        <f t="shared" si="26"/>
        <v>2460.4526655071218</v>
      </c>
      <c r="E199" s="171">
        <f t="shared" si="19"/>
        <v>0</v>
      </c>
      <c r="F199" s="170">
        <f t="shared" si="20"/>
        <v>0</v>
      </c>
      <c r="G199" s="170">
        <f t="shared" si="24"/>
        <v>0</v>
      </c>
      <c r="H199" s="170">
        <f t="shared" si="25"/>
        <v>0</v>
      </c>
      <c r="I199" s="170">
        <f t="shared" si="21"/>
        <v>0</v>
      </c>
      <c r="J199" s="170">
        <f>SUM($H$18:$H199)</f>
        <v>45254.319860854652</v>
      </c>
    </row>
    <row r="200" spans="1:10" x14ac:dyDescent="0.3">
      <c r="A200" s="168">
        <f t="shared" si="22"/>
        <v>183</v>
      </c>
      <c r="B200" s="169">
        <f t="shared" si="18"/>
        <v>51592</v>
      </c>
      <c r="C200" s="170">
        <f t="shared" si="23"/>
        <v>0</v>
      </c>
      <c r="D200" s="170">
        <f t="shared" si="26"/>
        <v>2460.4526655071218</v>
      </c>
      <c r="E200" s="171">
        <f t="shared" si="19"/>
        <v>0</v>
      </c>
      <c r="F200" s="170">
        <f t="shared" si="20"/>
        <v>0</v>
      </c>
      <c r="G200" s="170">
        <f t="shared" si="24"/>
        <v>0</v>
      </c>
      <c r="H200" s="170">
        <f t="shared" si="25"/>
        <v>0</v>
      </c>
      <c r="I200" s="170">
        <f t="shared" si="21"/>
        <v>0</v>
      </c>
      <c r="J200" s="170">
        <f>SUM($H$18:$H200)</f>
        <v>45254.319860854652</v>
      </c>
    </row>
    <row r="201" spans="1:10" x14ac:dyDescent="0.3">
      <c r="A201" s="168">
        <f t="shared" si="22"/>
        <v>184</v>
      </c>
      <c r="B201" s="169">
        <f t="shared" si="18"/>
        <v>51622</v>
      </c>
      <c r="C201" s="170">
        <f t="shared" si="23"/>
        <v>0</v>
      </c>
      <c r="D201" s="170">
        <f t="shared" si="26"/>
        <v>2460.4526655071218</v>
      </c>
      <c r="E201" s="171">
        <f t="shared" si="19"/>
        <v>0</v>
      </c>
      <c r="F201" s="170">
        <f t="shared" si="20"/>
        <v>0</v>
      </c>
      <c r="G201" s="170">
        <f t="shared" si="24"/>
        <v>0</v>
      </c>
      <c r="H201" s="170">
        <f t="shared" si="25"/>
        <v>0</v>
      </c>
      <c r="I201" s="170">
        <f t="shared" si="21"/>
        <v>0</v>
      </c>
      <c r="J201" s="170">
        <f>SUM($H$18:$H201)</f>
        <v>45254.319860854652</v>
      </c>
    </row>
    <row r="202" spans="1:10" x14ac:dyDescent="0.3">
      <c r="A202" s="168">
        <f t="shared" si="22"/>
        <v>185</v>
      </c>
      <c r="B202" s="169">
        <f t="shared" si="18"/>
        <v>51653</v>
      </c>
      <c r="C202" s="170">
        <f t="shared" si="23"/>
        <v>0</v>
      </c>
      <c r="D202" s="170">
        <f t="shared" si="26"/>
        <v>2460.4526655071218</v>
      </c>
      <c r="E202" s="171">
        <f t="shared" si="19"/>
        <v>0</v>
      </c>
      <c r="F202" s="170">
        <f t="shared" si="20"/>
        <v>0</v>
      </c>
      <c r="G202" s="170">
        <f t="shared" si="24"/>
        <v>0</v>
      </c>
      <c r="H202" s="170">
        <f t="shared" si="25"/>
        <v>0</v>
      </c>
      <c r="I202" s="170">
        <f t="shared" si="21"/>
        <v>0</v>
      </c>
      <c r="J202" s="170">
        <f>SUM($H$18:$H202)</f>
        <v>45254.319860854652</v>
      </c>
    </row>
    <row r="203" spans="1:10" x14ac:dyDescent="0.3">
      <c r="A203" s="168">
        <f t="shared" si="22"/>
        <v>186</v>
      </c>
      <c r="B203" s="169">
        <f t="shared" si="18"/>
        <v>51683</v>
      </c>
      <c r="C203" s="170">
        <f t="shared" si="23"/>
        <v>0</v>
      </c>
      <c r="D203" s="170">
        <f t="shared" si="26"/>
        <v>2460.4526655071218</v>
      </c>
      <c r="E203" s="171">
        <f t="shared" si="19"/>
        <v>0</v>
      </c>
      <c r="F203" s="170">
        <f t="shared" si="20"/>
        <v>0</v>
      </c>
      <c r="G203" s="170">
        <f t="shared" si="24"/>
        <v>0</v>
      </c>
      <c r="H203" s="170">
        <f t="shared" si="25"/>
        <v>0</v>
      </c>
      <c r="I203" s="170">
        <f t="shared" si="21"/>
        <v>0</v>
      </c>
      <c r="J203" s="170">
        <f>SUM($H$18:$H203)</f>
        <v>45254.319860854652</v>
      </c>
    </row>
    <row r="204" spans="1:10" x14ac:dyDescent="0.3">
      <c r="A204" s="168">
        <f t="shared" si="22"/>
        <v>187</v>
      </c>
      <c r="B204" s="169">
        <f t="shared" si="18"/>
        <v>51714</v>
      </c>
      <c r="C204" s="170">
        <f t="shared" si="23"/>
        <v>0</v>
      </c>
      <c r="D204" s="170">
        <f t="shared" si="26"/>
        <v>2460.4526655071218</v>
      </c>
      <c r="E204" s="171">
        <f t="shared" si="19"/>
        <v>0</v>
      </c>
      <c r="F204" s="170">
        <f t="shared" si="20"/>
        <v>0</v>
      </c>
      <c r="G204" s="170">
        <f t="shared" si="24"/>
        <v>0</v>
      </c>
      <c r="H204" s="170">
        <f t="shared" si="25"/>
        <v>0</v>
      </c>
      <c r="I204" s="170">
        <f t="shared" si="21"/>
        <v>0</v>
      </c>
      <c r="J204" s="170">
        <f>SUM($H$18:$H204)</f>
        <v>45254.319860854652</v>
      </c>
    </row>
    <row r="205" spans="1:10" x14ac:dyDescent="0.3">
      <c r="A205" s="168">
        <f t="shared" si="22"/>
        <v>188</v>
      </c>
      <c r="B205" s="169">
        <f t="shared" si="18"/>
        <v>51745</v>
      </c>
      <c r="C205" s="170">
        <f t="shared" si="23"/>
        <v>0</v>
      </c>
      <c r="D205" s="170">
        <f t="shared" si="26"/>
        <v>2460.4526655071218</v>
      </c>
      <c r="E205" s="171">
        <f t="shared" si="19"/>
        <v>0</v>
      </c>
      <c r="F205" s="170">
        <f t="shared" si="20"/>
        <v>0</v>
      </c>
      <c r="G205" s="170">
        <f t="shared" si="24"/>
        <v>0</v>
      </c>
      <c r="H205" s="170">
        <f t="shared" si="25"/>
        <v>0</v>
      </c>
      <c r="I205" s="170">
        <f t="shared" si="21"/>
        <v>0</v>
      </c>
      <c r="J205" s="170">
        <f>SUM($H$18:$H205)</f>
        <v>45254.319860854652</v>
      </c>
    </row>
    <row r="206" spans="1:10" x14ac:dyDescent="0.3">
      <c r="A206" s="168">
        <f t="shared" si="22"/>
        <v>189</v>
      </c>
      <c r="B206" s="169">
        <f t="shared" si="18"/>
        <v>51775</v>
      </c>
      <c r="C206" s="170">
        <f t="shared" si="23"/>
        <v>0</v>
      </c>
      <c r="D206" s="170">
        <f t="shared" si="26"/>
        <v>2460.4526655071218</v>
      </c>
      <c r="E206" s="171">
        <f t="shared" si="19"/>
        <v>0</v>
      </c>
      <c r="F206" s="170">
        <f t="shared" si="20"/>
        <v>0</v>
      </c>
      <c r="G206" s="170">
        <f t="shared" si="24"/>
        <v>0</v>
      </c>
      <c r="H206" s="170">
        <f t="shared" si="25"/>
        <v>0</v>
      </c>
      <c r="I206" s="170">
        <f t="shared" si="21"/>
        <v>0</v>
      </c>
      <c r="J206" s="170">
        <f>SUM($H$18:$H206)</f>
        <v>45254.319860854652</v>
      </c>
    </row>
    <row r="207" spans="1:10" x14ac:dyDescent="0.3">
      <c r="A207" s="168">
        <f t="shared" si="22"/>
        <v>190</v>
      </c>
      <c r="B207" s="169">
        <f t="shared" si="18"/>
        <v>51806</v>
      </c>
      <c r="C207" s="170">
        <f t="shared" si="23"/>
        <v>0</v>
      </c>
      <c r="D207" s="170">
        <f t="shared" si="26"/>
        <v>2460.4526655071218</v>
      </c>
      <c r="E207" s="171">
        <f t="shared" si="19"/>
        <v>0</v>
      </c>
      <c r="F207" s="170">
        <f t="shared" si="20"/>
        <v>0</v>
      </c>
      <c r="G207" s="170">
        <f t="shared" si="24"/>
        <v>0</v>
      </c>
      <c r="H207" s="170">
        <f t="shared" si="25"/>
        <v>0</v>
      </c>
      <c r="I207" s="170">
        <f t="shared" si="21"/>
        <v>0</v>
      </c>
      <c r="J207" s="170">
        <f>SUM($H$18:$H207)</f>
        <v>45254.319860854652</v>
      </c>
    </row>
    <row r="208" spans="1:10" x14ac:dyDescent="0.3">
      <c r="A208" s="168">
        <f t="shared" si="22"/>
        <v>191</v>
      </c>
      <c r="B208" s="169">
        <f t="shared" si="18"/>
        <v>51836</v>
      </c>
      <c r="C208" s="170">
        <f t="shared" si="23"/>
        <v>0</v>
      </c>
      <c r="D208" s="170">
        <f t="shared" si="26"/>
        <v>2460.4526655071218</v>
      </c>
      <c r="E208" s="171">
        <f t="shared" si="19"/>
        <v>0</v>
      </c>
      <c r="F208" s="170">
        <f t="shared" si="20"/>
        <v>0</v>
      </c>
      <c r="G208" s="170">
        <f t="shared" si="24"/>
        <v>0</v>
      </c>
      <c r="H208" s="170">
        <f t="shared" si="25"/>
        <v>0</v>
      </c>
      <c r="I208" s="170">
        <f t="shared" si="21"/>
        <v>0</v>
      </c>
      <c r="J208" s="170">
        <f>SUM($H$18:$H208)</f>
        <v>45254.319860854652</v>
      </c>
    </row>
    <row r="209" spans="1:10" x14ac:dyDescent="0.3">
      <c r="A209" s="168">
        <f t="shared" si="22"/>
        <v>192</v>
      </c>
      <c r="B209" s="169">
        <f t="shared" si="18"/>
        <v>51867</v>
      </c>
      <c r="C209" s="170">
        <f t="shared" si="23"/>
        <v>0</v>
      </c>
      <c r="D209" s="170">
        <f t="shared" si="26"/>
        <v>2460.4526655071218</v>
      </c>
      <c r="E209" s="171">
        <f t="shared" si="19"/>
        <v>0</v>
      </c>
      <c r="F209" s="170">
        <f t="shared" si="20"/>
        <v>0</v>
      </c>
      <c r="G209" s="170">
        <f t="shared" si="24"/>
        <v>0</v>
      </c>
      <c r="H209" s="170">
        <f t="shared" si="25"/>
        <v>0</v>
      </c>
      <c r="I209" s="170">
        <f t="shared" si="21"/>
        <v>0</v>
      </c>
      <c r="J209" s="170">
        <f>SUM($H$18:$H209)</f>
        <v>45254.319860854652</v>
      </c>
    </row>
    <row r="210" spans="1:10" x14ac:dyDescent="0.3">
      <c r="A210" s="168">
        <f t="shared" si="22"/>
        <v>193</v>
      </c>
      <c r="B210" s="169">
        <f t="shared" ref="B210:B273" si="27">IF(Nbre_Pmt&lt;&gt;"",DATE(YEAR(Début_Prêt),MONTH(Début_Prêt)+(Nbre_Pmt)*12/Nbre_Pmt_Par_An,DAY(Début_Prêt)),"")</f>
        <v>51898</v>
      </c>
      <c r="C210" s="170">
        <f t="shared" si="23"/>
        <v>0</v>
      </c>
      <c r="D210" s="170">
        <f t="shared" si="26"/>
        <v>2460.4526655071218</v>
      </c>
      <c r="E210" s="171">
        <f t="shared" ref="E210:E273" si="28">IF(AND(Nbre_Pmt&lt;&gt;"",Pmt_Programmé+Pmts_Supplémentaires_Programmés&lt;Solde_Départ),Pmts_Supplémentaires_Programmés,IF(AND(Nbre_Pmt&lt;&gt;"",Solde_Départ-Pmt_Programmé&gt;0),Solde_Départ-Pmt_Programmé,IF(Nbre_Pmt&lt;&gt;"",0,"")))</f>
        <v>0</v>
      </c>
      <c r="F210" s="170">
        <f t="shared" ref="F210:F273" si="29">IF(AND(Nbre_Pmt&lt;&gt;"",Pmt_Programmé+Pmt_Supplémentaire&lt;Solde_Départ),Pmt_Programmé+Pmt_Supplémentaire,IF(Nbre_Pmt&lt;&gt;"",Solde_Départ,""))</f>
        <v>0</v>
      </c>
      <c r="G210" s="170">
        <f t="shared" si="24"/>
        <v>0</v>
      </c>
      <c r="H210" s="170">
        <f t="shared" si="25"/>
        <v>0</v>
      </c>
      <c r="I210" s="170">
        <f t="shared" ref="I210:I273" si="30">IF(AND(Nbre_Pmt&lt;&gt;"",Pmt_Programmé+Pmt_Supplémentaire&lt;Solde_Départ),Solde_Départ-Princ,IF(Nbre_Pmt&lt;&gt;"",0,""))</f>
        <v>0</v>
      </c>
      <c r="J210" s="170">
        <f>SUM($H$18:$H210)</f>
        <v>45254.319860854652</v>
      </c>
    </row>
    <row r="211" spans="1:10" x14ac:dyDescent="0.3">
      <c r="A211" s="168">
        <f t="shared" ref="A211:A274" si="31">IF(Valeurs_Entrées,A210+1,"")</f>
        <v>194</v>
      </c>
      <c r="B211" s="169">
        <f t="shared" si="27"/>
        <v>51926</v>
      </c>
      <c r="C211" s="170">
        <f t="shared" ref="C211:C274" si="32">IF(Nbre_Pmt&lt;&gt;"",I210,"")</f>
        <v>0</v>
      </c>
      <c r="D211" s="170">
        <f t="shared" si="26"/>
        <v>2460.4526655071218</v>
      </c>
      <c r="E211" s="171">
        <f t="shared" si="28"/>
        <v>0</v>
      </c>
      <c r="F211" s="170">
        <f t="shared" si="29"/>
        <v>0</v>
      </c>
      <c r="G211" s="170">
        <f t="shared" ref="G211:G274" si="33">IF(Nbre_Pmt&lt;&gt;"",Pmt_Total-Ent,"")</f>
        <v>0</v>
      </c>
      <c r="H211" s="170">
        <f t="shared" ref="H211:H274" si="34">IF(Nbre_Pmt&lt;&gt;"",Solde_Départ*Taux_Intérêt/Nbre_Pmt_Par_An,"")</f>
        <v>0</v>
      </c>
      <c r="I211" s="170">
        <f t="shared" si="30"/>
        <v>0</v>
      </c>
      <c r="J211" s="170">
        <f>SUM($H$18:$H211)</f>
        <v>45254.319860854652</v>
      </c>
    </row>
    <row r="212" spans="1:10" x14ac:dyDescent="0.3">
      <c r="A212" s="168">
        <f t="shared" si="31"/>
        <v>195</v>
      </c>
      <c r="B212" s="169">
        <f t="shared" si="27"/>
        <v>51957</v>
      </c>
      <c r="C212" s="170">
        <f t="shared" si="32"/>
        <v>0</v>
      </c>
      <c r="D212" s="170">
        <f t="shared" ref="D212:D275" si="35">IF(Nbre_Pmt&lt;&gt;"",Pmt_Mensuel_Programmé,"")</f>
        <v>2460.4526655071218</v>
      </c>
      <c r="E212" s="171">
        <f t="shared" si="28"/>
        <v>0</v>
      </c>
      <c r="F212" s="170">
        <f t="shared" si="29"/>
        <v>0</v>
      </c>
      <c r="G212" s="170">
        <f t="shared" si="33"/>
        <v>0</v>
      </c>
      <c r="H212" s="170">
        <f t="shared" si="34"/>
        <v>0</v>
      </c>
      <c r="I212" s="170">
        <f t="shared" si="30"/>
        <v>0</v>
      </c>
      <c r="J212" s="170">
        <f>SUM($H$18:$H212)</f>
        <v>45254.319860854652</v>
      </c>
    </row>
    <row r="213" spans="1:10" x14ac:dyDescent="0.3">
      <c r="A213" s="168">
        <f t="shared" si="31"/>
        <v>196</v>
      </c>
      <c r="B213" s="169">
        <f t="shared" si="27"/>
        <v>51987</v>
      </c>
      <c r="C213" s="170">
        <f t="shared" si="32"/>
        <v>0</v>
      </c>
      <c r="D213" s="170">
        <f t="shared" si="35"/>
        <v>2460.4526655071218</v>
      </c>
      <c r="E213" s="171">
        <f t="shared" si="28"/>
        <v>0</v>
      </c>
      <c r="F213" s="170">
        <f t="shared" si="29"/>
        <v>0</v>
      </c>
      <c r="G213" s="170">
        <f t="shared" si="33"/>
        <v>0</v>
      </c>
      <c r="H213" s="170">
        <f t="shared" si="34"/>
        <v>0</v>
      </c>
      <c r="I213" s="170">
        <f t="shared" si="30"/>
        <v>0</v>
      </c>
      <c r="J213" s="170">
        <f>SUM($H$18:$H213)</f>
        <v>45254.319860854652</v>
      </c>
    </row>
    <row r="214" spans="1:10" x14ac:dyDescent="0.3">
      <c r="A214" s="168">
        <f t="shared" si="31"/>
        <v>197</v>
      </c>
      <c r="B214" s="169">
        <f t="shared" si="27"/>
        <v>52018</v>
      </c>
      <c r="C214" s="170">
        <f t="shared" si="32"/>
        <v>0</v>
      </c>
      <c r="D214" s="170">
        <f t="shared" si="35"/>
        <v>2460.4526655071218</v>
      </c>
      <c r="E214" s="171">
        <f t="shared" si="28"/>
        <v>0</v>
      </c>
      <c r="F214" s="170">
        <f t="shared" si="29"/>
        <v>0</v>
      </c>
      <c r="G214" s="170">
        <f t="shared" si="33"/>
        <v>0</v>
      </c>
      <c r="H214" s="170">
        <f t="shared" si="34"/>
        <v>0</v>
      </c>
      <c r="I214" s="170">
        <f t="shared" si="30"/>
        <v>0</v>
      </c>
      <c r="J214" s="170">
        <f>SUM($H$18:$H214)</f>
        <v>45254.319860854652</v>
      </c>
    </row>
    <row r="215" spans="1:10" x14ac:dyDescent="0.3">
      <c r="A215" s="168">
        <f t="shared" si="31"/>
        <v>198</v>
      </c>
      <c r="B215" s="169">
        <f t="shared" si="27"/>
        <v>52048</v>
      </c>
      <c r="C215" s="170">
        <f t="shared" si="32"/>
        <v>0</v>
      </c>
      <c r="D215" s="170">
        <f t="shared" si="35"/>
        <v>2460.4526655071218</v>
      </c>
      <c r="E215" s="171">
        <f t="shared" si="28"/>
        <v>0</v>
      </c>
      <c r="F215" s="170">
        <f t="shared" si="29"/>
        <v>0</v>
      </c>
      <c r="G215" s="170">
        <f t="shared" si="33"/>
        <v>0</v>
      </c>
      <c r="H215" s="170">
        <f t="shared" si="34"/>
        <v>0</v>
      </c>
      <c r="I215" s="170">
        <f t="shared" si="30"/>
        <v>0</v>
      </c>
      <c r="J215" s="170">
        <f>SUM($H$18:$H215)</f>
        <v>45254.319860854652</v>
      </c>
    </row>
    <row r="216" spans="1:10" x14ac:dyDescent="0.3">
      <c r="A216" s="168">
        <f t="shared" si="31"/>
        <v>199</v>
      </c>
      <c r="B216" s="169">
        <f t="shared" si="27"/>
        <v>52079</v>
      </c>
      <c r="C216" s="170">
        <f t="shared" si="32"/>
        <v>0</v>
      </c>
      <c r="D216" s="170">
        <f t="shared" si="35"/>
        <v>2460.4526655071218</v>
      </c>
      <c r="E216" s="171">
        <f t="shared" si="28"/>
        <v>0</v>
      </c>
      <c r="F216" s="170">
        <f t="shared" si="29"/>
        <v>0</v>
      </c>
      <c r="G216" s="170">
        <f t="shared" si="33"/>
        <v>0</v>
      </c>
      <c r="H216" s="170">
        <f t="shared" si="34"/>
        <v>0</v>
      </c>
      <c r="I216" s="170">
        <f t="shared" si="30"/>
        <v>0</v>
      </c>
      <c r="J216" s="170">
        <f>SUM($H$18:$H216)</f>
        <v>45254.319860854652</v>
      </c>
    </row>
    <row r="217" spans="1:10" x14ac:dyDescent="0.3">
      <c r="A217" s="168">
        <f t="shared" si="31"/>
        <v>200</v>
      </c>
      <c r="B217" s="169">
        <f t="shared" si="27"/>
        <v>52110</v>
      </c>
      <c r="C217" s="170">
        <f t="shared" si="32"/>
        <v>0</v>
      </c>
      <c r="D217" s="170">
        <f t="shared" si="35"/>
        <v>2460.4526655071218</v>
      </c>
      <c r="E217" s="171">
        <f t="shared" si="28"/>
        <v>0</v>
      </c>
      <c r="F217" s="170">
        <f t="shared" si="29"/>
        <v>0</v>
      </c>
      <c r="G217" s="170">
        <f t="shared" si="33"/>
        <v>0</v>
      </c>
      <c r="H217" s="170">
        <f t="shared" si="34"/>
        <v>0</v>
      </c>
      <c r="I217" s="170">
        <f t="shared" si="30"/>
        <v>0</v>
      </c>
      <c r="J217" s="170">
        <f>SUM($H$18:$H217)</f>
        <v>45254.319860854652</v>
      </c>
    </row>
    <row r="218" spans="1:10" x14ac:dyDescent="0.3">
      <c r="A218" s="168">
        <f t="shared" si="31"/>
        <v>201</v>
      </c>
      <c r="B218" s="169">
        <f t="shared" si="27"/>
        <v>52140</v>
      </c>
      <c r="C218" s="170">
        <f t="shared" si="32"/>
        <v>0</v>
      </c>
      <c r="D218" s="170">
        <f t="shared" si="35"/>
        <v>2460.4526655071218</v>
      </c>
      <c r="E218" s="171">
        <f t="shared" si="28"/>
        <v>0</v>
      </c>
      <c r="F218" s="170">
        <f t="shared" si="29"/>
        <v>0</v>
      </c>
      <c r="G218" s="170">
        <f t="shared" si="33"/>
        <v>0</v>
      </c>
      <c r="H218" s="170">
        <f t="shared" si="34"/>
        <v>0</v>
      </c>
      <c r="I218" s="170">
        <f t="shared" si="30"/>
        <v>0</v>
      </c>
      <c r="J218" s="170">
        <f>SUM($H$18:$H218)</f>
        <v>45254.319860854652</v>
      </c>
    </row>
    <row r="219" spans="1:10" x14ac:dyDescent="0.3">
      <c r="A219" s="168">
        <f t="shared" si="31"/>
        <v>202</v>
      </c>
      <c r="B219" s="169">
        <f t="shared" si="27"/>
        <v>52171</v>
      </c>
      <c r="C219" s="170">
        <f t="shared" si="32"/>
        <v>0</v>
      </c>
      <c r="D219" s="170">
        <f t="shared" si="35"/>
        <v>2460.4526655071218</v>
      </c>
      <c r="E219" s="171">
        <f t="shared" si="28"/>
        <v>0</v>
      </c>
      <c r="F219" s="170">
        <f t="shared" si="29"/>
        <v>0</v>
      </c>
      <c r="G219" s="170">
        <f t="shared" si="33"/>
        <v>0</v>
      </c>
      <c r="H219" s="170">
        <f t="shared" si="34"/>
        <v>0</v>
      </c>
      <c r="I219" s="170">
        <f t="shared" si="30"/>
        <v>0</v>
      </c>
      <c r="J219" s="170">
        <f>SUM($H$18:$H219)</f>
        <v>45254.319860854652</v>
      </c>
    </row>
    <row r="220" spans="1:10" x14ac:dyDescent="0.3">
      <c r="A220" s="168">
        <f t="shared" si="31"/>
        <v>203</v>
      </c>
      <c r="B220" s="169">
        <f t="shared" si="27"/>
        <v>52201</v>
      </c>
      <c r="C220" s="170">
        <f t="shared" si="32"/>
        <v>0</v>
      </c>
      <c r="D220" s="170">
        <f t="shared" si="35"/>
        <v>2460.4526655071218</v>
      </c>
      <c r="E220" s="171">
        <f t="shared" si="28"/>
        <v>0</v>
      </c>
      <c r="F220" s="170">
        <f t="shared" si="29"/>
        <v>0</v>
      </c>
      <c r="G220" s="170">
        <f t="shared" si="33"/>
        <v>0</v>
      </c>
      <c r="H220" s="170">
        <f t="shared" si="34"/>
        <v>0</v>
      </c>
      <c r="I220" s="170">
        <f t="shared" si="30"/>
        <v>0</v>
      </c>
      <c r="J220" s="170">
        <f>SUM($H$18:$H220)</f>
        <v>45254.319860854652</v>
      </c>
    </row>
    <row r="221" spans="1:10" x14ac:dyDescent="0.3">
      <c r="A221" s="168">
        <f t="shared" si="31"/>
        <v>204</v>
      </c>
      <c r="B221" s="169">
        <f t="shared" si="27"/>
        <v>52232</v>
      </c>
      <c r="C221" s="170">
        <f t="shared" si="32"/>
        <v>0</v>
      </c>
      <c r="D221" s="170">
        <f t="shared" si="35"/>
        <v>2460.4526655071218</v>
      </c>
      <c r="E221" s="171">
        <f t="shared" si="28"/>
        <v>0</v>
      </c>
      <c r="F221" s="170">
        <f t="shared" si="29"/>
        <v>0</v>
      </c>
      <c r="G221" s="170">
        <f t="shared" si="33"/>
        <v>0</v>
      </c>
      <c r="H221" s="170">
        <f t="shared" si="34"/>
        <v>0</v>
      </c>
      <c r="I221" s="170">
        <f t="shared" si="30"/>
        <v>0</v>
      </c>
      <c r="J221" s="170">
        <f>SUM($H$18:$H221)</f>
        <v>45254.319860854652</v>
      </c>
    </row>
    <row r="222" spans="1:10" x14ac:dyDescent="0.3">
      <c r="A222" s="168">
        <f t="shared" si="31"/>
        <v>205</v>
      </c>
      <c r="B222" s="169">
        <f t="shared" si="27"/>
        <v>52263</v>
      </c>
      <c r="C222" s="170">
        <f t="shared" si="32"/>
        <v>0</v>
      </c>
      <c r="D222" s="170">
        <f t="shared" si="35"/>
        <v>2460.4526655071218</v>
      </c>
      <c r="E222" s="171">
        <f t="shared" si="28"/>
        <v>0</v>
      </c>
      <c r="F222" s="170">
        <f t="shared" si="29"/>
        <v>0</v>
      </c>
      <c r="G222" s="170">
        <f t="shared" si="33"/>
        <v>0</v>
      </c>
      <c r="H222" s="170">
        <f t="shared" si="34"/>
        <v>0</v>
      </c>
      <c r="I222" s="170">
        <f t="shared" si="30"/>
        <v>0</v>
      </c>
      <c r="J222" s="170">
        <f>SUM($H$18:$H222)</f>
        <v>45254.319860854652</v>
      </c>
    </row>
    <row r="223" spans="1:10" x14ac:dyDescent="0.3">
      <c r="A223" s="168">
        <f t="shared" si="31"/>
        <v>206</v>
      </c>
      <c r="B223" s="169">
        <f t="shared" si="27"/>
        <v>52291</v>
      </c>
      <c r="C223" s="170">
        <f t="shared" si="32"/>
        <v>0</v>
      </c>
      <c r="D223" s="170">
        <f t="shared" si="35"/>
        <v>2460.4526655071218</v>
      </c>
      <c r="E223" s="171">
        <f t="shared" si="28"/>
        <v>0</v>
      </c>
      <c r="F223" s="170">
        <f t="shared" si="29"/>
        <v>0</v>
      </c>
      <c r="G223" s="170">
        <f t="shared" si="33"/>
        <v>0</v>
      </c>
      <c r="H223" s="170">
        <f t="shared" si="34"/>
        <v>0</v>
      </c>
      <c r="I223" s="170">
        <f t="shared" si="30"/>
        <v>0</v>
      </c>
      <c r="J223" s="170">
        <f>SUM($H$18:$H223)</f>
        <v>45254.319860854652</v>
      </c>
    </row>
    <row r="224" spans="1:10" x14ac:dyDescent="0.3">
      <c r="A224" s="168">
        <f t="shared" si="31"/>
        <v>207</v>
      </c>
      <c r="B224" s="169">
        <f t="shared" si="27"/>
        <v>52322</v>
      </c>
      <c r="C224" s="170">
        <f t="shared" si="32"/>
        <v>0</v>
      </c>
      <c r="D224" s="170">
        <f t="shared" si="35"/>
        <v>2460.4526655071218</v>
      </c>
      <c r="E224" s="171">
        <f t="shared" si="28"/>
        <v>0</v>
      </c>
      <c r="F224" s="170">
        <f t="shared" si="29"/>
        <v>0</v>
      </c>
      <c r="G224" s="170">
        <f t="shared" si="33"/>
        <v>0</v>
      </c>
      <c r="H224" s="170">
        <f t="shared" si="34"/>
        <v>0</v>
      </c>
      <c r="I224" s="170">
        <f t="shared" si="30"/>
        <v>0</v>
      </c>
      <c r="J224" s="170">
        <f>SUM($H$18:$H224)</f>
        <v>45254.319860854652</v>
      </c>
    </row>
    <row r="225" spans="1:10" x14ac:dyDescent="0.3">
      <c r="A225" s="168">
        <f t="shared" si="31"/>
        <v>208</v>
      </c>
      <c r="B225" s="169">
        <f t="shared" si="27"/>
        <v>52352</v>
      </c>
      <c r="C225" s="170">
        <f t="shared" si="32"/>
        <v>0</v>
      </c>
      <c r="D225" s="170">
        <f t="shared" si="35"/>
        <v>2460.4526655071218</v>
      </c>
      <c r="E225" s="171">
        <f t="shared" si="28"/>
        <v>0</v>
      </c>
      <c r="F225" s="170">
        <f t="shared" si="29"/>
        <v>0</v>
      </c>
      <c r="G225" s="170">
        <f t="shared" si="33"/>
        <v>0</v>
      </c>
      <c r="H225" s="170">
        <f t="shared" si="34"/>
        <v>0</v>
      </c>
      <c r="I225" s="170">
        <f t="shared" si="30"/>
        <v>0</v>
      </c>
      <c r="J225" s="170">
        <f>SUM($H$18:$H225)</f>
        <v>45254.319860854652</v>
      </c>
    </row>
    <row r="226" spans="1:10" x14ac:dyDescent="0.3">
      <c r="A226" s="168">
        <f t="shared" si="31"/>
        <v>209</v>
      </c>
      <c r="B226" s="169">
        <f t="shared" si="27"/>
        <v>52383</v>
      </c>
      <c r="C226" s="170">
        <f t="shared" si="32"/>
        <v>0</v>
      </c>
      <c r="D226" s="170">
        <f t="shared" si="35"/>
        <v>2460.4526655071218</v>
      </c>
      <c r="E226" s="171">
        <f t="shared" si="28"/>
        <v>0</v>
      </c>
      <c r="F226" s="170">
        <f t="shared" si="29"/>
        <v>0</v>
      </c>
      <c r="G226" s="170">
        <f t="shared" si="33"/>
        <v>0</v>
      </c>
      <c r="H226" s="170">
        <f t="shared" si="34"/>
        <v>0</v>
      </c>
      <c r="I226" s="170">
        <f t="shared" si="30"/>
        <v>0</v>
      </c>
      <c r="J226" s="170">
        <f>SUM($H$18:$H226)</f>
        <v>45254.319860854652</v>
      </c>
    </row>
    <row r="227" spans="1:10" x14ac:dyDescent="0.3">
      <c r="A227" s="168">
        <f t="shared" si="31"/>
        <v>210</v>
      </c>
      <c r="B227" s="169">
        <f t="shared" si="27"/>
        <v>52413</v>
      </c>
      <c r="C227" s="170">
        <f t="shared" si="32"/>
        <v>0</v>
      </c>
      <c r="D227" s="170">
        <f t="shared" si="35"/>
        <v>2460.4526655071218</v>
      </c>
      <c r="E227" s="171">
        <f t="shared" si="28"/>
        <v>0</v>
      </c>
      <c r="F227" s="170">
        <f t="shared" si="29"/>
        <v>0</v>
      </c>
      <c r="G227" s="170">
        <f t="shared" si="33"/>
        <v>0</v>
      </c>
      <c r="H227" s="170">
        <f t="shared" si="34"/>
        <v>0</v>
      </c>
      <c r="I227" s="170">
        <f t="shared" si="30"/>
        <v>0</v>
      </c>
      <c r="J227" s="170">
        <f>SUM($H$18:$H227)</f>
        <v>45254.319860854652</v>
      </c>
    </row>
    <row r="228" spans="1:10" x14ac:dyDescent="0.3">
      <c r="A228" s="168">
        <f t="shared" si="31"/>
        <v>211</v>
      </c>
      <c r="B228" s="169">
        <f t="shared" si="27"/>
        <v>52444</v>
      </c>
      <c r="C228" s="170">
        <f t="shared" si="32"/>
        <v>0</v>
      </c>
      <c r="D228" s="170">
        <f t="shared" si="35"/>
        <v>2460.4526655071218</v>
      </c>
      <c r="E228" s="171">
        <f t="shared" si="28"/>
        <v>0</v>
      </c>
      <c r="F228" s="170">
        <f t="shared" si="29"/>
        <v>0</v>
      </c>
      <c r="G228" s="170">
        <f t="shared" si="33"/>
        <v>0</v>
      </c>
      <c r="H228" s="170">
        <f t="shared" si="34"/>
        <v>0</v>
      </c>
      <c r="I228" s="170">
        <f t="shared" si="30"/>
        <v>0</v>
      </c>
      <c r="J228" s="170">
        <f>SUM($H$18:$H228)</f>
        <v>45254.319860854652</v>
      </c>
    </row>
    <row r="229" spans="1:10" x14ac:dyDescent="0.3">
      <c r="A229" s="168">
        <f t="shared" si="31"/>
        <v>212</v>
      </c>
      <c r="B229" s="169">
        <f t="shared" si="27"/>
        <v>52475</v>
      </c>
      <c r="C229" s="170">
        <f t="shared" si="32"/>
        <v>0</v>
      </c>
      <c r="D229" s="170">
        <f t="shared" si="35"/>
        <v>2460.4526655071218</v>
      </c>
      <c r="E229" s="171">
        <f t="shared" si="28"/>
        <v>0</v>
      </c>
      <c r="F229" s="170">
        <f t="shared" si="29"/>
        <v>0</v>
      </c>
      <c r="G229" s="170">
        <f t="shared" si="33"/>
        <v>0</v>
      </c>
      <c r="H229" s="170">
        <f t="shared" si="34"/>
        <v>0</v>
      </c>
      <c r="I229" s="170">
        <f t="shared" si="30"/>
        <v>0</v>
      </c>
      <c r="J229" s="170">
        <f>SUM($H$18:$H229)</f>
        <v>45254.319860854652</v>
      </c>
    </row>
    <row r="230" spans="1:10" x14ac:dyDescent="0.3">
      <c r="A230" s="168">
        <f t="shared" si="31"/>
        <v>213</v>
      </c>
      <c r="B230" s="169">
        <f t="shared" si="27"/>
        <v>52505</v>
      </c>
      <c r="C230" s="170">
        <f t="shared" si="32"/>
        <v>0</v>
      </c>
      <c r="D230" s="170">
        <f t="shared" si="35"/>
        <v>2460.4526655071218</v>
      </c>
      <c r="E230" s="171">
        <f t="shared" si="28"/>
        <v>0</v>
      </c>
      <c r="F230" s="170">
        <f t="shared" si="29"/>
        <v>0</v>
      </c>
      <c r="G230" s="170">
        <f t="shared" si="33"/>
        <v>0</v>
      </c>
      <c r="H230" s="170">
        <f t="shared" si="34"/>
        <v>0</v>
      </c>
      <c r="I230" s="170">
        <f t="shared" si="30"/>
        <v>0</v>
      </c>
      <c r="J230" s="170">
        <f>SUM($H$18:$H230)</f>
        <v>45254.319860854652</v>
      </c>
    </row>
    <row r="231" spans="1:10" x14ac:dyDescent="0.3">
      <c r="A231" s="168">
        <f t="shared" si="31"/>
        <v>214</v>
      </c>
      <c r="B231" s="169">
        <f t="shared" si="27"/>
        <v>52536</v>
      </c>
      <c r="C231" s="170">
        <f t="shared" si="32"/>
        <v>0</v>
      </c>
      <c r="D231" s="170">
        <f t="shared" si="35"/>
        <v>2460.4526655071218</v>
      </c>
      <c r="E231" s="171">
        <f t="shared" si="28"/>
        <v>0</v>
      </c>
      <c r="F231" s="170">
        <f t="shared" si="29"/>
        <v>0</v>
      </c>
      <c r="G231" s="170">
        <f t="shared" si="33"/>
        <v>0</v>
      </c>
      <c r="H231" s="170">
        <f t="shared" si="34"/>
        <v>0</v>
      </c>
      <c r="I231" s="170">
        <f t="shared" si="30"/>
        <v>0</v>
      </c>
      <c r="J231" s="170">
        <f>SUM($H$18:$H231)</f>
        <v>45254.319860854652</v>
      </c>
    </row>
    <row r="232" spans="1:10" x14ac:dyDescent="0.3">
      <c r="A232" s="168">
        <f t="shared" si="31"/>
        <v>215</v>
      </c>
      <c r="B232" s="169">
        <f t="shared" si="27"/>
        <v>52566</v>
      </c>
      <c r="C232" s="170">
        <f t="shared" si="32"/>
        <v>0</v>
      </c>
      <c r="D232" s="170">
        <f t="shared" si="35"/>
        <v>2460.4526655071218</v>
      </c>
      <c r="E232" s="171">
        <f t="shared" si="28"/>
        <v>0</v>
      </c>
      <c r="F232" s="170">
        <f t="shared" si="29"/>
        <v>0</v>
      </c>
      <c r="G232" s="170">
        <f t="shared" si="33"/>
        <v>0</v>
      </c>
      <c r="H232" s="170">
        <f t="shared" si="34"/>
        <v>0</v>
      </c>
      <c r="I232" s="170">
        <f t="shared" si="30"/>
        <v>0</v>
      </c>
      <c r="J232" s="170">
        <f>SUM($H$18:$H232)</f>
        <v>45254.319860854652</v>
      </c>
    </row>
    <row r="233" spans="1:10" x14ac:dyDescent="0.3">
      <c r="A233" s="168">
        <f t="shared" si="31"/>
        <v>216</v>
      </c>
      <c r="B233" s="169">
        <f t="shared" si="27"/>
        <v>52597</v>
      </c>
      <c r="C233" s="170">
        <f t="shared" si="32"/>
        <v>0</v>
      </c>
      <c r="D233" s="170">
        <f t="shared" si="35"/>
        <v>2460.4526655071218</v>
      </c>
      <c r="E233" s="171">
        <f t="shared" si="28"/>
        <v>0</v>
      </c>
      <c r="F233" s="170">
        <f t="shared" si="29"/>
        <v>0</v>
      </c>
      <c r="G233" s="170">
        <f t="shared" si="33"/>
        <v>0</v>
      </c>
      <c r="H233" s="170">
        <f t="shared" si="34"/>
        <v>0</v>
      </c>
      <c r="I233" s="170">
        <f t="shared" si="30"/>
        <v>0</v>
      </c>
      <c r="J233" s="170">
        <f>SUM($H$18:$H233)</f>
        <v>45254.319860854652</v>
      </c>
    </row>
    <row r="234" spans="1:10" x14ac:dyDescent="0.3">
      <c r="A234" s="168">
        <f t="shared" si="31"/>
        <v>217</v>
      </c>
      <c r="B234" s="169">
        <f t="shared" si="27"/>
        <v>52628</v>
      </c>
      <c r="C234" s="170">
        <f t="shared" si="32"/>
        <v>0</v>
      </c>
      <c r="D234" s="170">
        <f t="shared" si="35"/>
        <v>2460.4526655071218</v>
      </c>
      <c r="E234" s="171">
        <f t="shared" si="28"/>
        <v>0</v>
      </c>
      <c r="F234" s="170">
        <f t="shared" si="29"/>
        <v>0</v>
      </c>
      <c r="G234" s="170">
        <f t="shared" si="33"/>
        <v>0</v>
      </c>
      <c r="H234" s="170">
        <f t="shared" si="34"/>
        <v>0</v>
      </c>
      <c r="I234" s="170">
        <f t="shared" si="30"/>
        <v>0</v>
      </c>
      <c r="J234" s="170">
        <f>SUM($H$18:$H234)</f>
        <v>45254.319860854652</v>
      </c>
    </row>
    <row r="235" spans="1:10" x14ac:dyDescent="0.3">
      <c r="A235" s="168">
        <f t="shared" si="31"/>
        <v>218</v>
      </c>
      <c r="B235" s="169">
        <f t="shared" si="27"/>
        <v>52657</v>
      </c>
      <c r="C235" s="170">
        <f t="shared" si="32"/>
        <v>0</v>
      </c>
      <c r="D235" s="170">
        <f t="shared" si="35"/>
        <v>2460.4526655071218</v>
      </c>
      <c r="E235" s="171">
        <f t="shared" si="28"/>
        <v>0</v>
      </c>
      <c r="F235" s="170">
        <f t="shared" si="29"/>
        <v>0</v>
      </c>
      <c r="G235" s="170">
        <f t="shared" si="33"/>
        <v>0</v>
      </c>
      <c r="H235" s="170">
        <f t="shared" si="34"/>
        <v>0</v>
      </c>
      <c r="I235" s="170">
        <f t="shared" si="30"/>
        <v>0</v>
      </c>
      <c r="J235" s="170">
        <f>SUM($H$18:$H235)</f>
        <v>45254.319860854652</v>
      </c>
    </row>
    <row r="236" spans="1:10" x14ac:dyDescent="0.3">
      <c r="A236" s="168">
        <f t="shared" si="31"/>
        <v>219</v>
      </c>
      <c r="B236" s="169">
        <f t="shared" si="27"/>
        <v>52688</v>
      </c>
      <c r="C236" s="170">
        <f t="shared" si="32"/>
        <v>0</v>
      </c>
      <c r="D236" s="170">
        <f t="shared" si="35"/>
        <v>2460.4526655071218</v>
      </c>
      <c r="E236" s="171">
        <f t="shared" si="28"/>
        <v>0</v>
      </c>
      <c r="F236" s="170">
        <f t="shared" si="29"/>
        <v>0</v>
      </c>
      <c r="G236" s="170">
        <f t="shared" si="33"/>
        <v>0</v>
      </c>
      <c r="H236" s="170">
        <f t="shared" si="34"/>
        <v>0</v>
      </c>
      <c r="I236" s="170">
        <f t="shared" si="30"/>
        <v>0</v>
      </c>
      <c r="J236" s="170">
        <f>SUM($H$18:$H236)</f>
        <v>45254.319860854652</v>
      </c>
    </row>
    <row r="237" spans="1:10" x14ac:dyDescent="0.3">
      <c r="A237" s="168">
        <f t="shared" si="31"/>
        <v>220</v>
      </c>
      <c r="B237" s="169">
        <f t="shared" si="27"/>
        <v>52718</v>
      </c>
      <c r="C237" s="170">
        <f t="shared" si="32"/>
        <v>0</v>
      </c>
      <c r="D237" s="170">
        <f t="shared" si="35"/>
        <v>2460.4526655071218</v>
      </c>
      <c r="E237" s="171">
        <f t="shared" si="28"/>
        <v>0</v>
      </c>
      <c r="F237" s="170">
        <f t="shared" si="29"/>
        <v>0</v>
      </c>
      <c r="G237" s="170">
        <f t="shared" si="33"/>
        <v>0</v>
      </c>
      <c r="H237" s="170">
        <f t="shared" si="34"/>
        <v>0</v>
      </c>
      <c r="I237" s="170">
        <f t="shared" si="30"/>
        <v>0</v>
      </c>
      <c r="J237" s="170">
        <f>SUM($H$18:$H237)</f>
        <v>45254.319860854652</v>
      </c>
    </row>
    <row r="238" spans="1:10" x14ac:dyDescent="0.3">
      <c r="A238" s="168">
        <f t="shared" si="31"/>
        <v>221</v>
      </c>
      <c r="B238" s="169">
        <f t="shared" si="27"/>
        <v>52749</v>
      </c>
      <c r="C238" s="170">
        <f t="shared" si="32"/>
        <v>0</v>
      </c>
      <c r="D238" s="170">
        <f t="shared" si="35"/>
        <v>2460.4526655071218</v>
      </c>
      <c r="E238" s="171">
        <f t="shared" si="28"/>
        <v>0</v>
      </c>
      <c r="F238" s="170">
        <f t="shared" si="29"/>
        <v>0</v>
      </c>
      <c r="G238" s="170">
        <f t="shared" si="33"/>
        <v>0</v>
      </c>
      <c r="H238" s="170">
        <f t="shared" si="34"/>
        <v>0</v>
      </c>
      <c r="I238" s="170">
        <f t="shared" si="30"/>
        <v>0</v>
      </c>
      <c r="J238" s="170">
        <f>SUM($H$18:$H238)</f>
        <v>45254.319860854652</v>
      </c>
    </row>
    <row r="239" spans="1:10" x14ac:dyDescent="0.3">
      <c r="A239" s="168">
        <f t="shared" si="31"/>
        <v>222</v>
      </c>
      <c r="B239" s="169">
        <f t="shared" si="27"/>
        <v>52779</v>
      </c>
      <c r="C239" s="170">
        <f t="shared" si="32"/>
        <v>0</v>
      </c>
      <c r="D239" s="170">
        <f t="shared" si="35"/>
        <v>2460.4526655071218</v>
      </c>
      <c r="E239" s="171">
        <f t="shared" si="28"/>
        <v>0</v>
      </c>
      <c r="F239" s="170">
        <f t="shared" si="29"/>
        <v>0</v>
      </c>
      <c r="G239" s="170">
        <f t="shared" si="33"/>
        <v>0</v>
      </c>
      <c r="H239" s="170">
        <f t="shared" si="34"/>
        <v>0</v>
      </c>
      <c r="I239" s="170">
        <f t="shared" si="30"/>
        <v>0</v>
      </c>
      <c r="J239" s="170">
        <f>SUM($H$18:$H239)</f>
        <v>45254.319860854652</v>
      </c>
    </row>
    <row r="240" spans="1:10" x14ac:dyDescent="0.3">
      <c r="A240" s="168">
        <f t="shared" si="31"/>
        <v>223</v>
      </c>
      <c r="B240" s="169">
        <f t="shared" si="27"/>
        <v>52810</v>
      </c>
      <c r="C240" s="170">
        <f t="shared" si="32"/>
        <v>0</v>
      </c>
      <c r="D240" s="170">
        <f t="shared" si="35"/>
        <v>2460.4526655071218</v>
      </c>
      <c r="E240" s="171">
        <f t="shared" si="28"/>
        <v>0</v>
      </c>
      <c r="F240" s="170">
        <f t="shared" si="29"/>
        <v>0</v>
      </c>
      <c r="G240" s="170">
        <f t="shared" si="33"/>
        <v>0</v>
      </c>
      <c r="H240" s="170">
        <f t="shared" si="34"/>
        <v>0</v>
      </c>
      <c r="I240" s="170">
        <f t="shared" si="30"/>
        <v>0</v>
      </c>
      <c r="J240" s="170">
        <f>SUM($H$18:$H240)</f>
        <v>45254.319860854652</v>
      </c>
    </row>
    <row r="241" spans="1:10" x14ac:dyDescent="0.3">
      <c r="A241" s="168">
        <f t="shared" si="31"/>
        <v>224</v>
      </c>
      <c r="B241" s="169">
        <f t="shared" si="27"/>
        <v>52841</v>
      </c>
      <c r="C241" s="170">
        <f t="shared" si="32"/>
        <v>0</v>
      </c>
      <c r="D241" s="170">
        <f t="shared" si="35"/>
        <v>2460.4526655071218</v>
      </c>
      <c r="E241" s="171">
        <f t="shared" si="28"/>
        <v>0</v>
      </c>
      <c r="F241" s="170">
        <f t="shared" si="29"/>
        <v>0</v>
      </c>
      <c r="G241" s="170">
        <f t="shared" si="33"/>
        <v>0</v>
      </c>
      <c r="H241" s="170">
        <f t="shared" si="34"/>
        <v>0</v>
      </c>
      <c r="I241" s="170">
        <f t="shared" si="30"/>
        <v>0</v>
      </c>
      <c r="J241" s="170">
        <f>SUM($H$18:$H241)</f>
        <v>45254.319860854652</v>
      </c>
    </row>
    <row r="242" spans="1:10" x14ac:dyDescent="0.3">
      <c r="A242" s="168">
        <f t="shared" si="31"/>
        <v>225</v>
      </c>
      <c r="B242" s="169">
        <f t="shared" si="27"/>
        <v>52871</v>
      </c>
      <c r="C242" s="170">
        <f t="shared" si="32"/>
        <v>0</v>
      </c>
      <c r="D242" s="170">
        <f t="shared" si="35"/>
        <v>2460.4526655071218</v>
      </c>
      <c r="E242" s="171">
        <f t="shared" si="28"/>
        <v>0</v>
      </c>
      <c r="F242" s="170">
        <f t="shared" si="29"/>
        <v>0</v>
      </c>
      <c r="G242" s="170">
        <f t="shared" si="33"/>
        <v>0</v>
      </c>
      <c r="H242" s="170">
        <f t="shared" si="34"/>
        <v>0</v>
      </c>
      <c r="I242" s="170">
        <f t="shared" si="30"/>
        <v>0</v>
      </c>
      <c r="J242" s="170">
        <f>SUM($H$18:$H242)</f>
        <v>45254.319860854652</v>
      </c>
    </row>
    <row r="243" spans="1:10" x14ac:dyDescent="0.3">
      <c r="A243" s="168">
        <f t="shared" si="31"/>
        <v>226</v>
      </c>
      <c r="B243" s="169">
        <f t="shared" si="27"/>
        <v>52902</v>
      </c>
      <c r="C243" s="170">
        <f t="shared" si="32"/>
        <v>0</v>
      </c>
      <c r="D243" s="170">
        <f t="shared" si="35"/>
        <v>2460.4526655071218</v>
      </c>
      <c r="E243" s="171">
        <f t="shared" si="28"/>
        <v>0</v>
      </c>
      <c r="F243" s="170">
        <f t="shared" si="29"/>
        <v>0</v>
      </c>
      <c r="G243" s="170">
        <f t="shared" si="33"/>
        <v>0</v>
      </c>
      <c r="H243" s="170">
        <f t="shared" si="34"/>
        <v>0</v>
      </c>
      <c r="I243" s="170">
        <f t="shared" si="30"/>
        <v>0</v>
      </c>
      <c r="J243" s="170">
        <f>SUM($H$18:$H243)</f>
        <v>45254.319860854652</v>
      </c>
    </row>
    <row r="244" spans="1:10" x14ac:dyDescent="0.3">
      <c r="A244" s="168">
        <f t="shared" si="31"/>
        <v>227</v>
      </c>
      <c r="B244" s="169">
        <f t="shared" si="27"/>
        <v>52932</v>
      </c>
      <c r="C244" s="170">
        <f t="shared" si="32"/>
        <v>0</v>
      </c>
      <c r="D244" s="170">
        <f t="shared" si="35"/>
        <v>2460.4526655071218</v>
      </c>
      <c r="E244" s="171">
        <f t="shared" si="28"/>
        <v>0</v>
      </c>
      <c r="F244" s="170">
        <f t="shared" si="29"/>
        <v>0</v>
      </c>
      <c r="G244" s="170">
        <f t="shared" si="33"/>
        <v>0</v>
      </c>
      <c r="H244" s="170">
        <f t="shared" si="34"/>
        <v>0</v>
      </c>
      <c r="I244" s="170">
        <f t="shared" si="30"/>
        <v>0</v>
      </c>
      <c r="J244" s="170">
        <f>SUM($H$18:$H244)</f>
        <v>45254.319860854652</v>
      </c>
    </row>
    <row r="245" spans="1:10" x14ac:dyDescent="0.3">
      <c r="A245" s="168">
        <f t="shared" si="31"/>
        <v>228</v>
      </c>
      <c r="B245" s="169">
        <f t="shared" si="27"/>
        <v>52963</v>
      </c>
      <c r="C245" s="170">
        <f t="shared" si="32"/>
        <v>0</v>
      </c>
      <c r="D245" s="170">
        <f t="shared" si="35"/>
        <v>2460.4526655071218</v>
      </c>
      <c r="E245" s="171">
        <f t="shared" si="28"/>
        <v>0</v>
      </c>
      <c r="F245" s="170">
        <f t="shared" si="29"/>
        <v>0</v>
      </c>
      <c r="G245" s="170">
        <f t="shared" si="33"/>
        <v>0</v>
      </c>
      <c r="H245" s="170">
        <f t="shared" si="34"/>
        <v>0</v>
      </c>
      <c r="I245" s="170">
        <f t="shared" si="30"/>
        <v>0</v>
      </c>
      <c r="J245" s="170">
        <f>SUM($H$18:$H245)</f>
        <v>45254.319860854652</v>
      </c>
    </row>
    <row r="246" spans="1:10" x14ac:dyDescent="0.3">
      <c r="A246" s="168">
        <f t="shared" si="31"/>
        <v>229</v>
      </c>
      <c r="B246" s="169">
        <f t="shared" si="27"/>
        <v>52994</v>
      </c>
      <c r="C246" s="170">
        <f t="shared" si="32"/>
        <v>0</v>
      </c>
      <c r="D246" s="170">
        <f t="shared" si="35"/>
        <v>2460.4526655071218</v>
      </c>
      <c r="E246" s="171">
        <f t="shared" si="28"/>
        <v>0</v>
      </c>
      <c r="F246" s="170">
        <f t="shared" si="29"/>
        <v>0</v>
      </c>
      <c r="G246" s="170">
        <f t="shared" si="33"/>
        <v>0</v>
      </c>
      <c r="H246" s="170">
        <f t="shared" si="34"/>
        <v>0</v>
      </c>
      <c r="I246" s="170">
        <f t="shared" si="30"/>
        <v>0</v>
      </c>
      <c r="J246" s="170">
        <f>SUM($H$18:$H246)</f>
        <v>45254.319860854652</v>
      </c>
    </row>
    <row r="247" spans="1:10" x14ac:dyDescent="0.3">
      <c r="A247" s="168">
        <f t="shared" si="31"/>
        <v>230</v>
      </c>
      <c r="B247" s="169">
        <f t="shared" si="27"/>
        <v>53022</v>
      </c>
      <c r="C247" s="170">
        <f t="shared" si="32"/>
        <v>0</v>
      </c>
      <c r="D247" s="170">
        <f t="shared" si="35"/>
        <v>2460.4526655071218</v>
      </c>
      <c r="E247" s="171">
        <f t="shared" si="28"/>
        <v>0</v>
      </c>
      <c r="F247" s="170">
        <f t="shared" si="29"/>
        <v>0</v>
      </c>
      <c r="G247" s="170">
        <f t="shared" si="33"/>
        <v>0</v>
      </c>
      <c r="H247" s="170">
        <f t="shared" si="34"/>
        <v>0</v>
      </c>
      <c r="I247" s="170">
        <f t="shared" si="30"/>
        <v>0</v>
      </c>
      <c r="J247" s="170">
        <f>SUM($H$18:$H247)</f>
        <v>45254.319860854652</v>
      </c>
    </row>
    <row r="248" spans="1:10" x14ac:dyDescent="0.3">
      <c r="A248" s="168">
        <f t="shared" si="31"/>
        <v>231</v>
      </c>
      <c r="B248" s="169">
        <f t="shared" si="27"/>
        <v>53053</v>
      </c>
      <c r="C248" s="170">
        <f t="shared" si="32"/>
        <v>0</v>
      </c>
      <c r="D248" s="170">
        <f t="shared" si="35"/>
        <v>2460.4526655071218</v>
      </c>
      <c r="E248" s="171">
        <f t="shared" si="28"/>
        <v>0</v>
      </c>
      <c r="F248" s="170">
        <f t="shared" si="29"/>
        <v>0</v>
      </c>
      <c r="G248" s="170">
        <f t="shared" si="33"/>
        <v>0</v>
      </c>
      <c r="H248" s="170">
        <f t="shared" si="34"/>
        <v>0</v>
      </c>
      <c r="I248" s="170">
        <f t="shared" si="30"/>
        <v>0</v>
      </c>
      <c r="J248" s="170">
        <f>SUM($H$18:$H248)</f>
        <v>45254.319860854652</v>
      </c>
    </row>
    <row r="249" spans="1:10" x14ac:dyDescent="0.3">
      <c r="A249" s="168">
        <f t="shared" si="31"/>
        <v>232</v>
      </c>
      <c r="B249" s="169">
        <f t="shared" si="27"/>
        <v>53083</v>
      </c>
      <c r="C249" s="170">
        <f t="shared" si="32"/>
        <v>0</v>
      </c>
      <c r="D249" s="170">
        <f t="shared" si="35"/>
        <v>2460.4526655071218</v>
      </c>
      <c r="E249" s="171">
        <f t="shared" si="28"/>
        <v>0</v>
      </c>
      <c r="F249" s="170">
        <f t="shared" si="29"/>
        <v>0</v>
      </c>
      <c r="G249" s="170">
        <f t="shared" si="33"/>
        <v>0</v>
      </c>
      <c r="H249" s="170">
        <f t="shared" si="34"/>
        <v>0</v>
      </c>
      <c r="I249" s="170">
        <f t="shared" si="30"/>
        <v>0</v>
      </c>
      <c r="J249" s="170">
        <f>SUM($H$18:$H249)</f>
        <v>45254.319860854652</v>
      </c>
    </row>
    <row r="250" spans="1:10" x14ac:dyDescent="0.3">
      <c r="A250" s="168">
        <f t="shared" si="31"/>
        <v>233</v>
      </c>
      <c r="B250" s="169">
        <f t="shared" si="27"/>
        <v>53114</v>
      </c>
      <c r="C250" s="170">
        <f t="shared" si="32"/>
        <v>0</v>
      </c>
      <c r="D250" s="170">
        <f t="shared" si="35"/>
        <v>2460.4526655071218</v>
      </c>
      <c r="E250" s="171">
        <f t="shared" si="28"/>
        <v>0</v>
      </c>
      <c r="F250" s="170">
        <f t="shared" si="29"/>
        <v>0</v>
      </c>
      <c r="G250" s="170">
        <f t="shared" si="33"/>
        <v>0</v>
      </c>
      <c r="H250" s="170">
        <f t="shared" si="34"/>
        <v>0</v>
      </c>
      <c r="I250" s="170">
        <f t="shared" si="30"/>
        <v>0</v>
      </c>
      <c r="J250" s="170">
        <f>SUM($H$18:$H250)</f>
        <v>45254.319860854652</v>
      </c>
    </row>
    <row r="251" spans="1:10" x14ac:dyDescent="0.3">
      <c r="A251" s="168">
        <f t="shared" si="31"/>
        <v>234</v>
      </c>
      <c r="B251" s="169">
        <f t="shared" si="27"/>
        <v>53144</v>
      </c>
      <c r="C251" s="170">
        <f t="shared" si="32"/>
        <v>0</v>
      </c>
      <c r="D251" s="170">
        <f t="shared" si="35"/>
        <v>2460.4526655071218</v>
      </c>
      <c r="E251" s="171">
        <f t="shared" si="28"/>
        <v>0</v>
      </c>
      <c r="F251" s="170">
        <f t="shared" si="29"/>
        <v>0</v>
      </c>
      <c r="G251" s="170">
        <f t="shared" si="33"/>
        <v>0</v>
      </c>
      <c r="H251" s="170">
        <f t="shared" si="34"/>
        <v>0</v>
      </c>
      <c r="I251" s="170">
        <f t="shared" si="30"/>
        <v>0</v>
      </c>
      <c r="J251" s="170">
        <f>SUM($H$18:$H251)</f>
        <v>45254.319860854652</v>
      </c>
    </row>
    <row r="252" spans="1:10" x14ac:dyDescent="0.3">
      <c r="A252" s="168">
        <f t="shared" si="31"/>
        <v>235</v>
      </c>
      <c r="B252" s="169">
        <f t="shared" si="27"/>
        <v>53175</v>
      </c>
      <c r="C252" s="170">
        <f t="shared" si="32"/>
        <v>0</v>
      </c>
      <c r="D252" s="170">
        <f t="shared" si="35"/>
        <v>2460.4526655071218</v>
      </c>
      <c r="E252" s="171">
        <f t="shared" si="28"/>
        <v>0</v>
      </c>
      <c r="F252" s="170">
        <f t="shared" si="29"/>
        <v>0</v>
      </c>
      <c r="G252" s="170">
        <f t="shared" si="33"/>
        <v>0</v>
      </c>
      <c r="H252" s="170">
        <f t="shared" si="34"/>
        <v>0</v>
      </c>
      <c r="I252" s="170">
        <f t="shared" si="30"/>
        <v>0</v>
      </c>
      <c r="J252" s="170">
        <f>SUM($H$18:$H252)</f>
        <v>45254.319860854652</v>
      </c>
    </row>
    <row r="253" spans="1:10" x14ac:dyDescent="0.3">
      <c r="A253" s="168">
        <f t="shared" si="31"/>
        <v>236</v>
      </c>
      <c r="B253" s="169">
        <f t="shared" si="27"/>
        <v>53206</v>
      </c>
      <c r="C253" s="170">
        <f t="shared" si="32"/>
        <v>0</v>
      </c>
      <c r="D253" s="170">
        <f t="shared" si="35"/>
        <v>2460.4526655071218</v>
      </c>
      <c r="E253" s="171">
        <f t="shared" si="28"/>
        <v>0</v>
      </c>
      <c r="F253" s="170">
        <f t="shared" si="29"/>
        <v>0</v>
      </c>
      <c r="G253" s="170">
        <f t="shared" si="33"/>
        <v>0</v>
      </c>
      <c r="H253" s="170">
        <f t="shared" si="34"/>
        <v>0</v>
      </c>
      <c r="I253" s="170">
        <f t="shared" si="30"/>
        <v>0</v>
      </c>
      <c r="J253" s="170">
        <f>SUM($H$18:$H253)</f>
        <v>45254.319860854652</v>
      </c>
    </row>
    <row r="254" spans="1:10" x14ac:dyDescent="0.3">
      <c r="A254" s="168">
        <f t="shared" si="31"/>
        <v>237</v>
      </c>
      <c r="B254" s="169">
        <f t="shared" si="27"/>
        <v>53236</v>
      </c>
      <c r="C254" s="170">
        <f t="shared" si="32"/>
        <v>0</v>
      </c>
      <c r="D254" s="170">
        <f t="shared" si="35"/>
        <v>2460.4526655071218</v>
      </c>
      <c r="E254" s="171">
        <f t="shared" si="28"/>
        <v>0</v>
      </c>
      <c r="F254" s="170">
        <f t="shared" si="29"/>
        <v>0</v>
      </c>
      <c r="G254" s="170">
        <f t="shared" si="33"/>
        <v>0</v>
      </c>
      <c r="H254" s="170">
        <f t="shared" si="34"/>
        <v>0</v>
      </c>
      <c r="I254" s="170">
        <f t="shared" si="30"/>
        <v>0</v>
      </c>
      <c r="J254" s="170">
        <f>SUM($H$18:$H254)</f>
        <v>45254.319860854652</v>
      </c>
    </row>
    <row r="255" spans="1:10" x14ac:dyDescent="0.3">
      <c r="A255" s="168">
        <f t="shared" si="31"/>
        <v>238</v>
      </c>
      <c r="B255" s="169">
        <f t="shared" si="27"/>
        <v>53267</v>
      </c>
      <c r="C255" s="170">
        <f t="shared" si="32"/>
        <v>0</v>
      </c>
      <c r="D255" s="170">
        <f t="shared" si="35"/>
        <v>2460.4526655071218</v>
      </c>
      <c r="E255" s="171">
        <f t="shared" si="28"/>
        <v>0</v>
      </c>
      <c r="F255" s="170">
        <f t="shared" si="29"/>
        <v>0</v>
      </c>
      <c r="G255" s="170">
        <f t="shared" si="33"/>
        <v>0</v>
      </c>
      <c r="H255" s="170">
        <f t="shared" si="34"/>
        <v>0</v>
      </c>
      <c r="I255" s="170">
        <f t="shared" si="30"/>
        <v>0</v>
      </c>
      <c r="J255" s="170">
        <f>SUM($H$18:$H255)</f>
        <v>45254.319860854652</v>
      </c>
    </row>
    <row r="256" spans="1:10" x14ac:dyDescent="0.3">
      <c r="A256" s="168">
        <f t="shared" si="31"/>
        <v>239</v>
      </c>
      <c r="B256" s="169">
        <f t="shared" si="27"/>
        <v>53297</v>
      </c>
      <c r="C256" s="170">
        <f t="shared" si="32"/>
        <v>0</v>
      </c>
      <c r="D256" s="170">
        <f t="shared" si="35"/>
        <v>2460.4526655071218</v>
      </c>
      <c r="E256" s="171">
        <f t="shared" si="28"/>
        <v>0</v>
      </c>
      <c r="F256" s="170">
        <f t="shared" si="29"/>
        <v>0</v>
      </c>
      <c r="G256" s="170">
        <f t="shared" si="33"/>
        <v>0</v>
      </c>
      <c r="H256" s="170">
        <f t="shared" si="34"/>
        <v>0</v>
      </c>
      <c r="I256" s="170">
        <f t="shared" si="30"/>
        <v>0</v>
      </c>
      <c r="J256" s="170">
        <f>SUM($H$18:$H256)</f>
        <v>45254.319860854652</v>
      </c>
    </row>
    <row r="257" spans="1:10" x14ac:dyDescent="0.3">
      <c r="A257" s="168">
        <f t="shared" si="31"/>
        <v>240</v>
      </c>
      <c r="B257" s="169">
        <f t="shared" si="27"/>
        <v>53328</v>
      </c>
      <c r="C257" s="170">
        <f t="shared" si="32"/>
        <v>0</v>
      </c>
      <c r="D257" s="170">
        <f t="shared" si="35"/>
        <v>2460.4526655071218</v>
      </c>
      <c r="E257" s="171">
        <f t="shared" si="28"/>
        <v>0</v>
      </c>
      <c r="F257" s="170">
        <f t="shared" si="29"/>
        <v>0</v>
      </c>
      <c r="G257" s="170">
        <f t="shared" si="33"/>
        <v>0</v>
      </c>
      <c r="H257" s="170">
        <f t="shared" si="34"/>
        <v>0</v>
      </c>
      <c r="I257" s="170">
        <f t="shared" si="30"/>
        <v>0</v>
      </c>
      <c r="J257" s="170">
        <f>SUM($H$18:$H257)</f>
        <v>45254.319860854652</v>
      </c>
    </row>
    <row r="258" spans="1:10" x14ac:dyDescent="0.3">
      <c r="A258" s="168">
        <f t="shared" si="31"/>
        <v>241</v>
      </c>
      <c r="B258" s="169">
        <f t="shared" si="27"/>
        <v>53359</v>
      </c>
      <c r="C258" s="170">
        <f t="shared" si="32"/>
        <v>0</v>
      </c>
      <c r="D258" s="170">
        <f t="shared" si="35"/>
        <v>2460.4526655071218</v>
      </c>
      <c r="E258" s="171">
        <f t="shared" si="28"/>
        <v>0</v>
      </c>
      <c r="F258" s="170">
        <f t="shared" si="29"/>
        <v>0</v>
      </c>
      <c r="G258" s="170">
        <f t="shared" si="33"/>
        <v>0</v>
      </c>
      <c r="H258" s="170">
        <f t="shared" si="34"/>
        <v>0</v>
      </c>
      <c r="I258" s="170">
        <f t="shared" si="30"/>
        <v>0</v>
      </c>
      <c r="J258" s="170">
        <f>SUM($H$18:$H258)</f>
        <v>45254.319860854652</v>
      </c>
    </row>
    <row r="259" spans="1:10" x14ac:dyDescent="0.3">
      <c r="A259" s="168">
        <f t="shared" si="31"/>
        <v>242</v>
      </c>
      <c r="B259" s="169">
        <f t="shared" si="27"/>
        <v>53387</v>
      </c>
      <c r="C259" s="170">
        <f t="shared" si="32"/>
        <v>0</v>
      </c>
      <c r="D259" s="170">
        <f t="shared" si="35"/>
        <v>2460.4526655071218</v>
      </c>
      <c r="E259" s="171">
        <f t="shared" si="28"/>
        <v>0</v>
      </c>
      <c r="F259" s="170">
        <f t="shared" si="29"/>
        <v>0</v>
      </c>
      <c r="G259" s="170">
        <f t="shared" si="33"/>
        <v>0</v>
      </c>
      <c r="H259" s="170">
        <f t="shared" si="34"/>
        <v>0</v>
      </c>
      <c r="I259" s="170">
        <f t="shared" si="30"/>
        <v>0</v>
      </c>
      <c r="J259" s="170">
        <f>SUM($H$18:$H259)</f>
        <v>45254.319860854652</v>
      </c>
    </row>
    <row r="260" spans="1:10" x14ac:dyDescent="0.3">
      <c r="A260" s="168">
        <f t="shared" si="31"/>
        <v>243</v>
      </c>
      <c r="B260" s="169">
        <f t="shared" si="27"/>
        <v>53418</v>
      </c>
      <c r="C260" s="170">
        <f t="shared" si="32"/>
        <v>0</v>
      </c>
      <c r="D260" s="170">
        <f t="shared" si="35"/>
        <v>2460.4526655071218</v>
      </c>
      <c r="E260" s="171">
        <f t="shared" si="28"/>
        <v>0</v>
      </c>
      <c r="F260" s="170">
        <f t="shared" si="29"/>
        <v>0</v>
      </c>
      <c r="G260" s="170">
        <f t="shared" si="33"/>
        <v>0</v>
      </c>
      <c r="H260" s="170">
        <f t="shared" si="34"/>
        <v>0</v>
      </c>
      <c r="I260" s="170">
        <f t="shared" si="30"/>
        <v>0</v>
      </c>
      <c r="J260" s="170">
        <f>SUM($H$18:$H260)</f>
        <v>45254.319860854652</v>
      </c>
    </row>
    <row r="261" spans="1:10" x14ac:dyDescent="0.3">
      <c r="A261" s="168">
        <f t="shared" si="31"/>
        <v>244</v>
      </c>
      <c r="B261" s="169">
        <f t="shared" si="27"/>
        <v>53448</v>
      </c>
      <c r="C261" s="170">
        <f t="shared" si="32"/>
        <v>0</v>
      </c>
      <c r="D261" s="170">
        <f t="shared" si="35"/>
        <v>2460.4526655071218</v>
      </c>
      <c r="E261" s="171">
        <f t="shared" si="28"/>
        <v>0</v>
      </c>
      <c r="F261" s="170">
        <f t="shared" si="29"/>
        <v>0</v>
      </c>
      <c r="G261" s="170">
        <f t="shared" si="33"/>
        <v>0</v>
      </c>
      <c r="H261" s="170">
        <f t="shared" si="34"/>
        <v>0</v>
      </c>
      <c r="I261" s="170">
        <f t="shared" si="30"/>
        <v>0</v>
      </c>
      <c r="J261" s="170">
        <f>SUM($H$18:$H261)</f>
        <v>45254.319860854652</v>
      </c>
    </row>
    <row r="262" spans="1:10" x14ac:dyDescent="0.3">
      <c r="A262" s="168">
        <f t="shared" si="31"/>
        <v>245</v>
      </c>
      <c r="B262" s="169">
        <f t="shared" si="27"/>
        <v>53479</v>
      </c>
      <c r="C262" s="170">
        <f t="shared" si="32"/>
        <v>0</v>
      </c>
      <c r="D262" s="170">
        <f t="shared" si="35"/>
        <v>2460.4526655071218</v>
      </c>
      <c r="E262" s="171">
        <f t="shared" si="28"/>
        <v>0</v>
      </c>
      <c r="F262" s="170">
        <f t="shared" si="29"/>
        <v>0</v>
      </c>
      <c r="G262" s="170">
        <f t="shared" si="33"/>
        <v>0</v>
      </c>
      <c r="H262" s="170">
        <f t="shared" si="34"/>
        <v>0</v>
      </c>
      <c r="I262" s="170">
        <f t="shared" si="30"/>
        <v>0</v>
      </c>
      <c r="J262" s="170">
        <f>SUM($H$18:$H262)</f>
        <v>45254.319860854652</v>
      </c>
    </row>
    <row r="263" spans="1:10" x14ac:dyDescent="0.3">
      <c r="A263" s="168">
        <f t="shared" si="31"/>
        <v>246</v>
      </c>
      <c r="B263" s="169">
        <f t="shared" si="27"/>
        <v>53509</v>
      </c>
      <c r="C263" s="170">
        <f t="shared" si="32"/>
        <v>0</v>
      </c>
      <c r="D263" s="170">
        <f t="shared" si="35"/>
        <v>2460.4526655071218</v>
      </c>
      <c r="E263" s="171">
        <f t="shared" si="28"/>
        <v>0</v>
      </c>
      <c r="F263" s="170">
        <f t="shared" si="29"/>
        <v>0</v>
      </c>
      <c r="G263" s="170">
        <f t="shared" si="33"/>
        <v>0</v>
      </c>
      <c r="H263" s="170">
        <f t="shared" si="34"/>
        <v>0</v>
      </c>
      <c r="I263" s="170">
        <f t="shared" si="30"/>
        <v>0</v>
      </c>
      <c r="J263" s="170">
        <f>SUM($H$18:$H263)</f>
        <v>45254.319860854652</v>
      </c>
    </row>
    <row r="264" spans="1:10" x14ac:dyDescent="0.3">
      <c r="A264" s="168">
        <f t="shared" si="31"/>
        <v>247</v>
      </c>
      <c r="B264" s="169">
        <f t="shared" si="27"/>
        <v>53540</v>
      </c>
      <c r="C264" s="170">
        <f t="shared" si="32"/>
        <v>0</v>
      </c>
      <c r="D264" s="170">
        <f t="shared" si="35"/>
        <v>2460.4526655071218</v>
      </c>
      <c r="E264" s="171">
        <f t="shared" si="28"/>
        <v>0</v>
      </c>
      <c r="F264" s="170">
        <f t="shared" si="29"/>
        <v>0</v>
      </c>
      <c r="G264" s="170">
        <f t="shared" si="33"/>
        <v>0</v>
      </c>
      <c r="H264" s="170">
        <f t="shared" si="34"/>
        <v>0</v>
      </c>
      <c r="I264" s="170">
        <f t="shared" si="30"/>
        <v>0</v>
      </c>
      <c r="J264" s="170">
        <f>SUM($H$18:$H264)</f>
        <v>45254.319860854652</v>
      </c>
    </row>
    <row r="265" spans="1:10" x14ac:dyDescent="0.3">
      <c r="A265" s="168">
        <f t="shared" si="31"/>
        <v>248</v>
      </c>
      <c r="B265" s="169">
        <f t="shared" si="27"/>
        <v>53571</v>
      </c>
      <c r="C265" s="170">
        <f t="shared" si="32"/>
        <v>0</v>
      </c>
      <c r="D265" s="170">
        <f t="shared" si="35"/>
        <v>2460.4526655071218</v>
      </c>
      <c r="E265" s="171">
        <f t="shared" si="28"/>
        <v>0</v>
      </c>
      <c r="F265" s="170">
        <f t="shared" si="29"/>
        <v>0</v>
      </c>
      <c r="G265" s="170">
        <f t="shared" si="33"/>
        <v>0</v>
      </c>
      <c r="H265" s="170">
        <f t="shared" si="34"/>
        <v>0</v>
      </c>
      <c r="I265" s="170">
        <f t="shared" si="30"/>
        <v>0</v>
      </c>
      <c r="J265" s="170">
        <f>SUM($H$18:$H265)</f>
        <v>45254.319860854652</v>
      </c>
    </row>
    <row r="266" spans="1:10" x14ac:dyDescent="0.3">
      <c r="A266" s="168">
        <f t="shared" si="31"/>
        <v>249</v>
      </c>
      <c r="B266" s="169">
        <f t="shared" si="27"/>
        <v>53601</v>
      </c>
      <c r="C266" s="170">
        <f t="shared" si="32"/>
        <v>0</v>
      </c>
      <c r="D266" s="170">
        <f t="shared" si="35"/>
        <v>2460.4526655071218</v>
      </c>
      <c r="E266" s="171">
        <f t="shared" si="28"/>
        <v>0</v>
      </c>
      <c r="F266" s="170">
        <f t="shared" si="29"/>
        <v>0</v>
      </c>
      <c r="G266" s="170">
        <f t="shared" si="33"/>
        <v>0</v>
      </c>
      <c r="H266" s="170">
        <f t="shared" si="34"/>
        <v>0</v>
      </c>
      <c r="I266" s="170">
        <f t="shared" si="30"/>
        <v>0</v>
      </c>
      <c r="J266" s="170">
        <f>SUM($H$18:$H266)</f>
        <v>45254.319860854652</v>
      </c>
    </row>
    <row r="267" spans="1:10" x14ac:dyDescent="0.3">
      <c r="A267" s="168">
        <f t="shared" si="31"/>
        <v>250</v>
      </c>
      <c r="B267" s="169">
        <f t="shared" si="27"/>
        <v>53632</v>
      </c>
      <c r="C267" s="170">
        <f t="shared" si="32"/>
        <v>0</v>
      </c>
      <c r="D267" s="170">
        <f t="shared" si="35"/>
        <v>2460.4526655071218</v>
      </c>
      <c r="E267" s="171">
        <f t="shared" si="28"/>
        <v>0</v>
      </c>
      <c r="F267" s="170">
        <f t="shared" si="29"/>
        <v>0</v>
      </c>
      <c r="G267" s="170">
        <f t="shared" si="33"/>
        <v>0</v>
      </c>
      <c r="H267" s="170">
        <f t="shared" si="34"/>
        <v>0</v>
      </c>
      <c r="I267" s="170">
        <f t="shared" si="30"/>
        <v>0</v>
      </c>
      <c r="J267" s="170">
        <f>SUM($H$18:$H267)</f>
        <v>45254.319860854652</v>
      </c>
    </row>
    <row r="268" spans="1:10" x14ac:dyDescent="0.3">
      <c r="A268" s="168">
        <f t="shared" si="31"/>
        <v>251</v>
      </c>
      <c r="B268" s="169">
        <f t="shared" si="27"/>
        <v>53662</v>
      </c>
      <c r="C268" s="170">
        <f t="shared" si="32"/>
        <v>0</v>
      </c>
      <c r="D268" s="170">
        <f t="shared" si="35"/>
        <v>2460.4526655071218</v>
      </c>
      <c r="E268" s="171">
        <f t="shared" si="28"/>
        <v>0</v>
      </c>
      <c r="F268" s="170">
        <f t="shared" si="29"/>
        <v>0</v>
      </c>
      <c r="G268" s="170">
        <f t="shared" si="33"/>
        <v>0</v>
      </c>
      <c r="H268" s="170">
        <f t="shared" si="34"/>
        <v>0</v>
      </c>
      <c r="I268" s="170">
        <f t="shared" si="30"/>
        <v>0</v>
      </c>
      <c r="J268" s="170">
        <f>SUM($H$18:$H268)</f>
        <v>45254.319860854652</v>
      </c>
    </row>
    <row r="269" spans="1:10" x14ac:dyDescent="0.3">
      <c r="A269" s="168">
        <f t="shared" si="31"/>
        <v>252</v>
      </c>
      <c r="B269" s="169">
        <f t="shared" si="27"/>
        <v>53693</v>
      </c>
      <c r="C269" s="170">
        <f t="shared" si="32"/>
        <v>0</v>
      </c>
      <c r="D269" s="170">
        <f t="shared" si="35"/>
        <v>2460.4526655071218</v>
      </c>
      <c r="E269" s="171">
        <f t="shared" si="28"/>
        <v>0</v>
      </c>
      <c r="F269" s="170">
        <f t="shared" si="29"/>
        <v>0</v>
      </c>
      <c r="G269" s="170">
        <f t="shared" si="33"/>
        <v>0</v>
      </c>
      <c r="H269" s="170">
        <f t="shared" si="34"/>
        <v>0</v>
      </c>
      <c r="I269" s="170">
        <f t="shared" si="30"/>
        <v>0</v>
      </c>
      <c r="J269" s="170">
        <f>SUM($H$18:$H269)</f>
        <v>45254.319860854652</v>
      </c>
    </row>
    <row r="270" spans="1:10" x14ac:dyDescent="0.3">
      <c r="A270" s="168">
        <f t="shared" si="31"/>
        <v>253</v>
      </c>
      <c r="B270" s="169">
        <f t="shared" si="27"/>
        <v>53724</v>
      </c>
      <c r="C270" s="170">
        <f t="shared" si="32"/>
        <v>0</v>
      </c>
      <c r="D270" s="170">
        <f t="shared" si="35"/>
        <v>2460.4526655071218</v>
      </c>
      <c r="E270" s="171">
        <f t="shared" si="28"/>
        <v>0</v>
      </c>
      <c r="F270" s="170">
        <f t="shared" si="29"/>
        <v>0</v>
      </c>
      <c r="G270" s="170">
        <f t="shared" si="33"/>
        <v>0</v>
      </c>
      <c r="H270" s="170">
        <f t="shared" si="34"/>
        <v>0</v>
      </c>
      <c r="I270" s="170">
        <f t="shared" si="30"/>
        <v>0</v>
      </c>
      <c r="J270" s="170">
        <f>SUM($H$18:$H270)</f>
        <v>45254.319860854652</v>
      </c>
    </row>
    <row r="271" spans="1:10" x14ac:dyDescent="0.3">
      <c r="A271" s="168">
        <f t="shared" si="31"/>
        <v>254</v>
      </c>
      <c r="B271" s="169">
        <f t="shared" si="27"/>
        <v>53752</v>
      </c>
      <c r="C271" s="170">
        <f t="shared" si="32"/>
        <v>0</v>
      </c>
      <c r="D271" s="170">
        <f t="shared" si="35"/>
        <v>2460.4526655071218</v>
      </c>
      <c r="E271" s="171">
        <f t="shared" si="28"/>
        <v>0</v>
      </c>
      <c r="F271" s="170">
        <f t="shared" si="29"/>
        <v>0</v>
      </c>
      <c r="G271" s="170">
        <f t="shared" si="33"/>
        <v>0</v>
      </c>
      <c r="H271" s="170">
        <f t="shared" si="34"/>
        <v>0</v>
      </c>
      <c r="I271" s="170">
        <f t="shared" si="30"/>
        <v>0</v>
      </c>
      <c r="J271" s="170">
        <f>SUM($H$18:$H271)</f>
        <v>45254.319860854652</v>
      </c>
    </row>
    <row r="272" spans="1:10" x14ac:dyDescent="0.3">
      <c r="A272" s="168">
        <f t="shared" si="31"/>
        <v>255</v>
      </c>
      <c r="B272" s="169">
        <f t="shared" si="27"/>
        <v>53783</v>
      </c>
      <c r="C272" s="170">
        <f t="shared" si="32"/>
        <v>0</v>
      </c>
      <c r="D272" s="170">
        <f t="shared" si="35"/>
        <v>2460.4526655071218</v>
      </c>
      <c r="E272" s="171">
        <f t="shared" si="28"/>
        <v>0</v>
      </c>
      <c r="F272" s="170">
        <f t="shared" si="29"/>
        <v>0</v>
      </c>
      <c r="G272" s="170">
        <f t="shared" si="33"/>
        <v>0</v>
      </c>
      <c r="H272" s="170">
        <f t="shared" si="34"/>
        <v>0</v>
      </c>
      <c r="I272" s="170">
        <f t="shared" si="30"/>
        <v>0</v>
      </c>
      <c r="J272" s="170">
        <f>SUM($H$18:$H272)</f>
        <v>45254.319860854652</v>
      </c>
    </row>
    <row r="273" spans="1:10" x14ac:dyDescent="0.3">
      <c r="A273" s="168">
        <f t="shared" si="31"/>
        <v>256</v>
      </c>
      <c r="B273" s="169">
        <f t="shared" si="27"/>
        <v>53813</v>
      </c>
      <c r="C273" s="170">
        <f t="shared" si="32"/>
        <v>0</v>
      </c>
      <c r="D273" s="170">
        <f t="shared" si="35"/>
        <v>2460.4526655071218</v>
      </c>
      <c r="E273" s="171">
        <f t="shared" si="28"/>
        <v>0</v>
      </c>
      <c r="F273" s="170">
        <f t="shared" si="29"/>
        <v>0</v>
      </c>
      <c r="G273" s="170">
        <f t="shared" si="33"/>
        <v>0</v>
      </c>
      <c r="H273" s="170">
        <f t="shared" si="34"/>
        <v>0</v>
      </c>
      <c r="I273" s="170">
        <f t="shared" si="30"/>
        <v>0</v>
      </c>
      <c r="J273" s="170">
        <f>SUM($H$18:$H273)</f>
        <v>45254.319860854652</v>
      </c>
    </row>
    <row r="274" spans="1:10" x14ac:dyDescent="0.3">
      <c r="A274" s="168">
        <f t="shared" si="31"/>
        <v>257</v>
      </c>
      <c r="B274" s="169">
        <f t="shared" ref="B274:B337" si="36">IF(Nbre_Pmt&lt;&gt;"",DATE(YEAR(Début_Prêt),MONTH(Début_Prêt)+(Nbre_Pmt)*12/Nbre_Pmt_Par_An,DAY(Début_Prêt)),"")</f>
        <v>53844</v>
      </c>
      <c r="C274" s="170">
        <f t="shared" si="32"/>
        <v>0</v>
      </c>
      <c r="D274" s="170">
        <f t="shared" si="35"/>
        <v>2460.4526655071218</v>
      </c>
      <c r="E274" s="171">
        <f t="shared" ref="E274:E337" si="37">IF(AND(Nbre_Pmt&lt;&gt;"",Pmt_Programmé+Pmts_Supplémentaires_Programmés&lt;Solde_Départ),Pmts_Supplémentaires_Programmés,IF(AND(Nbre_Pmt&lt;&gt;"",Solde_Départ-Pmt_Programmé&gt;0),Solde_Départ-Pmt_Programmé,IF(Nbre_Pmt&lt;&gt;"",0,"")))</f>
        <v>0</v>
      </c>
      <c r="F274" s="170">
        <f t="shared" ref="F274:F337" si="38">IF(AND(Nbre_Pmt&lt;&gt;"",Pmt_Programmé+Pmt_Supplémentaire&lt;Solde_Départ),Pmt_Programmé+Pmt_Supplémentaire,IF(Nbre_Pmt&lt;&gt;"",Solde_Départ,""))</f>
        <v>0</v>
      </c>
      <c r="G274" s="170">
        <f t="shared" si="33"/>
        <v>0</v>
      </c>
      <c r="H274" s="170">
        <f t="shared" si="34"/>
        <v>0</v>
      </c>
      <c r="I274" s="170">
        <f t="shared" ref="I274:I337" si="39">IF(AND(Nbre_Pmt&lt;&gt;"",Pmt_Programmé+Pmt_Supplémentaire&lt;Solde_Départ),Solde_Départ-Princ,IF(Nbre_Pmt&lt;&gt;"",0,""))</f>
        <v>0</v>
      </c>
      <c r="J274" s="170">
        <f>SUM($H$18:$H274)</f>
        <v>45254.319860854652</v>
      </c>
    </row>
    <row r="275" spans="1:10" x14ac:dyDescent="0.3">
      <c r="A275" s="168">
        <f t="shared" ref="A275:A338" si="40">IF(Valeurs_Entrées,A274+1,"")</f>
        <v>258</v>
      </c>
      <c r="B275" s="169">
        <f t="shared" si="36"/>
        <v>53874</v>
      </c>
      <c r="C275" s="170">
        <f t="shared" ref="C275:C338" si="41">IF(Nbre_Pmt&lt;&gt;"",I274,"")</f>
        <v>0</v>
      </c>
      <c r="D275" s="170">
        <f t="shared" si="35"/>
        <v>2460.4526655071218</v>
      </c>
      <c r="E275" s="171">
        <f t="shared" si="37"/>
        <v>0</v>
      </c>
      <c r="F275" s="170">
        <f t="shared" si="38"/>
        <v>0</v>
      </c>
      <c r="G275" s="170">
        <f t="shared" ref="G275:G338" si="42">IF(Nbre_Pmt&lt;&gt;"",Pmt_Total-Ent,"")</f>
        <v>0</v>
      </c>
      <c r="H275" s="170">
        <f t="shared" ref="H275:H338" si="43">IF(Nbre_Pmt&lt;&gt;"",Solde_Départ*Taux_Intérêt/Nbre_Pmt_Par_An,"")</f>
        <v>0</v>
      </c>
      <c r="I275" s="170">
        <f t="shared" si="39"/>
        <v>0</v>
      </c>
      <c r="J275" s="170">
        <f>SUM($H$18:$H275)</f>
        <v>45254.319860854652</v>
      </c>
    </row>
    <row r="276" spans="1:10" x14ac:dyDescent="0.3">
      <c r="A276" s="168">
        <f t="shared" si="40"/>
        <v>259</v>
      </c>
      <c r="B276" s="169">
        <f t="shared" si="36"/>
        <v>53905</v>
      </c>
      <c r="C276" s="170">
        <f t="shared" si="41"/>
        <v>0</v>
      </c>
      <c r="D276" s="170">
        <f t="shared" ref="D276:D339" si="44">IF(Nbre_Pmt&lt;&gt;"",Pmt_Mensuel_Programmé,"")</f>
        <v>2460.4526655071218</v>
      </c>
      <c r="E276" s="171">
        <f t="shared" si="37"/>
        <v>0</v>
      </c>
      <c r="F276" s="170">
        <f t="shared" si="38"/>
        <v>0</v>
      </c>
      <c r="G276" s="170">
        <f t="shared" si="42"/>
        <v>0</v>
      </c>
      <c r="H276" s="170">
        <f t="shared" si="43"/>
        <v>0</v>
      </c>
      <c r="I276" s="170">
        <f t="shared" si="39"/>
        <v>0</v>
      </c>
      <c r="J276" s="170">
        <f>SUM($H$18:$H276)</f>
        <v>45254.319860854652</v>
      </c>
    </row>
    <row r="277" spans="1:10" x14ac:dyDescent="0.3">
      <c r="A277" s="168">
        <f t="shared" si="40"/>
        <v>260</v>
      </c>
      <c r="B277" s="169">
        <f t="shared" si="36"/>
        <v>53936</v>
      </c>
      <c r="C277" s="170">
        <f t="shared" si="41"/>
        <v>0</v>
      </c>
      <c r="D277" s="170">
        <f t="shared" si="44"/>
        <v>2460.4526655071218</v>
      </c>
      <c r="E277" s="171">
        <f t="shared" si="37"/>
        <v>0</v>
      </c>
      <c r="F277" s="170">
        <f t="shared" si="38"/>
        <v>0</v>
      </c>
      <c r="G277" s="170">
        <f t="shared" si="42"/>
        <v>0</v>
      </c>
      <c r="H277" s="170">
        <f t="shared" si="43"/>
        <v>0</v>
      </c>
      <c r="I277" s="170">
        <f t="shared" si="39"/>
        <v>0</v>
      </c>
      <c r="J277" s="170">
        <f>SUM($H$18:$H277)</f>
        <v>45254.319860854652</v>
      </c>
    </row>
    <row r="278" spans="1:10" x14ac:dyDescent="0.3">
      <c r="A278" s="168">
        <f t="shared" si="40"/>
        <v>261</v>
      </c>
      <c r="B278" s="169">
        <f t="shared" si="36"/>
        <v>53966</v>
      </c>
      <c r="C278" s="170">
        <f t="shared" si="41"/>
        <v>0</v>
      </c>
      <c r="D278" s="170">
        <f t="shared" si="44"/>
        <v>2460.4526655071218</v>
      </c>
      <c r="E278" s="171">
        <f t="shared" si="37"/>
        <v>0</v>
      </c>
      <c r="F278" s="170">
        <f t="shared" si="38"/>
        <v>0</v>
      </c>
      <c r="G278" s="170">
        <f t="shared" si="42"/>
        <v>0</v>
      </c>
      <c r="H278" s="170">
        <f t="shared" si="43"/>
        <v>0</v>
      </c>
      <c r="I278" s="170">
        <f t="shared" si="39"/>
        <v>0</v>
      </c>
      <c r="J278" s="170">
        <f>SUM($H$18:$H278)</f>
        <v>45254.319860854652</v>
      </c>
    </row>
    <row r="279" spans="1:10" x14ac:dyDescent="0.3">
      <c r="A279" s="168">
        <f t="shared" si="40"/>
        <v>262</v>
      </c>
      <c r="B279" s="169">
        <f t="shared" si="36"/>
        <v>53997</v>
      </c>
      <c r="C279" s="170">
        <f t="shared" si="41"/>
        <v>0</v>
      </c>
      <c r="D279" s="170">
        <f t="shared" si="44"/>
        <v>2460.4526655071218</v>
      </c>
      <c r="E279" s="171">
        <f t="shared" si="37"/>
        <v>0</v>
      </c>
      <c r="F279" s="170">
        <f t="shared" si="38"/>
        <v>0</v>
      </c>
      <c r="G279" s="170">
        <f t="shared" si="42"/>
        <v>0</v>
      </c>
      <c r="H279" s="170">
        <f t="shared" si="43"/>
        <v>0</v>
      </c>
      <c r="I279" s="170">
        <f t="shared" si="39"/>
        <v>0</v>
      </c>
      <c r="J279" s="170">
        <f>SUM($H$18:$H279)</f>
        <v>45254.319860854652</v>
      </c>
    </row>
    <row r="280" spans="1:10" x14ac:dyDescent="0.3">
      <c r="A280" s="168">
        <f t="shared" si="40"/>
        <v>263</v>
      </c>
      <c r="B280" s="169">
        <f t="shared" si="36"/>
        <v>54027</v>
      </c>
      <c r="C280" s="170">
        <f t="shared" si="41"/>
        <v>0</v>
      </c>
      <c r="D280" s="170">
        <f t="shared" si="44"/>
        <v>2460.4526655071218</v>
      </c>
      <c r="E280" s="171">
        <f t="shared" si="37"/>
        <v>0</v>
      </c>
      <c r="F280" s="170">
        <f t="shared" si="38"/>
        <v>0</v>
      </c>
      <c r="G280" s="170">
        <f t="shared" si="42"/>
        <v>0</v>
      </c>
      <c r="H280" s="170">
        <f t="shared" si="43"/>
        <v>0</v>
      </c>
      <c r="I280" s="170">
        <f t="shared" si="39"/>
        <v>0</v>
      </c>
      <c r="J280" s="170">
        <f>SUM($H$18:$H280)</f>
        <v>45254.319860854652</v>
      </c>
    </row>
    <row r="281" spans="1:10" x14ac:dyDescent="0.3">
      <c r="A281" s="168">
        <f t="shared" si="40"/>
        <v>264</v>
      </c>
      <c r="B281" s="169">
        <f t="shared" si="36"/>
        <v>54058</v>
      </c>
      <c r="C281" s="170">
        <f t="shared" si="41"/>
        <v>0</v>
      </c>
      <c r="D281" s="170">
        <f t="shared" si="44"/>
        <v>2460.4526655071218</v>
      </c>
      <c r="E281" s="171">
        <f t="shared" si="37"/>
        <v>0</v>
      </c>
      <c r="F281" s="170">
        <f t="shared" si="38"/>
        <v>0</v>
      </c>
      <c r="G281" s="170">
        <f t="shared" si="42"/>
        <v>0</v>
      </c>
      <c r="H281" s="170">
        <f t="shared" si="43"/>
        <v>0</v>
      </c>
      <c r="I281" s="170">
        <f t="shared" si="39"/>
        <v>0</v>
      </c>
      <c r="J281" s="170">
        <f>SUM($H$18:$H281)</f>
        <v>45254.319860854652</v>
      </c>
    </row>
    <row r="282" spans="1:10" x14ac:dyDescent="0.3">
      <c r="A282" s="168">
        <f t="shared" si="40"/>
        <v>265</v>
      </c>
      <c r="B282" s="169">
        <f t="shared" si="36"/>
        <v>54089</v>
      </c>
      <c r="C282" s="170">
        <f t="shared" si="41"/>
        <v>0</v>
      </c>
      <c r="D282" s="170">
        <f t="shared" si="44"/>
        <v>2460.4526655071218</v>
      </c>
      <c r="E282" s="171">
        <f t="shared" si="37"/>
        <v>0</v>
      </c>
      <c r="F282" s="170">
        <f t="shared" si="38"/>
        <v>0</v>
      </c>
      <c r="G282" s="170">
        <f t="shared" si="42"/>
        <v>0</v>
      </c>
      <c r="H282" s="170">
        <f t="shared" si="43"/>
        <v>0</v>
      </c>
      <c r="I282" s="170">
        <f t="shared" si="39"/>
        <v>0</v>
      </c>
      <c r="J282" s="170">
        <f>SUM($H$18:$H282)</f>
        <v>45254.319860854652</v>
      </c>
    </row>
    <row r="283" spans="1:10" x14ac:dyDescent="0.3">
      <c r="A283" s="168">
        <f t="shared" si="40"/>
        <v>266</v>
      </c>
      <c r="B283" s="169">
        <f t="shared" si="36"/>
        <v>54118</v>
      </c>
      <c r="C283" s="170">
        <f t="shared" si="41"/>
        <v>0</v>
      </c>
      <c r="D283" s="170">
        <f t="shared" si="44"/>
        <v>2460.4526655071218</v>
      </c>
      <c r="E283" s="171">
        <f t="shared" si="37"/>
        <v>0</v>
      </c>
      <c r="F283" s="170">
        <f t="shared" si="38"/>
        <v>0</v>
      </c>
      <c r="G283" s="170">
        <f t="shared" si="42"/>
        <v>0</v>
      </c>
      <c r="H283" s="170">
        <f t="shared" si="43"/>
        <v>0</v>
      </c>
      <c r="I283" s="170">
        <f t="shared" si="39"/>
        <v>0</v>
      </c>
      <c r="J283" s="170">
        <f>SUM($H$18:$H283)</f>
        <v>45254.319860854652</v>
      </c>
    </row>
    <row r="284" spans="1:10" x14ac:dyDescent="0.3">
      <c r="A284" s="168">
        <f t="shared" si="40"/>
        <v>267</v>
      </c>
      <c r="B284" s="169">
        <f t="shared" si="36"/>
        <v>54149</v>
      </c>
      <c r="C284" s="170">
        <f t="shared" si="41"/>
        <v>0</v>
      </c>
      <c r="D284" s="170">
        <f t="shared" si="44"/>
        <v>2460.4526655071218</v>
      </c>
      <c r="E284" s="171">
        <f t="shared" si="37"/>
        <v>0</v>
      </c>
      <c r="F284" s="170">
        <f t="shared" si="38"/>
        <v>0</v>
      </c>
      <c r="G284" s="170">
        <f t="shared" si="42"/>
        <v>0</v>
      </c>
      <c r="H284" s="170">
        <f t="shared" si="43"/>
        <v>0</v>
      </c>
      <c r="I284" s="170">
        <f t="shared" si="39"/>
        <v>0</v>
      </c>
      <c r="J284" s="170">
        <f>SUM($H$18:$H284)</f>
        <v>45254.319860854652</v>
      </c>
    </row>
    <row r="285" spans="1:10" x14ac:dyDescent="0.3">
      <c r="A285" s="168">
        <f t="shared" si="40"/>
        <v>268</v>
      </c>
      <c r="B285" s="169">
        <f t="shared" si="36"/>
        <v>54179</v>
      </c>
      <c r="C285" s="170">
        <f t="shared" si="41"/>
        <v>0</v>
      </c>
      <c r="D285" s="170">
        <f t="shared" si="44"/>
        <v>2460.4526655071218</v>
      </c>
      <c r="E285" s="171">
        <f t="shared" si="37"/>
        <v>0</v>
      </c>
      <c r="F285" s="170">
        <f t="shared" si="38"/>
        <v>0</v>
      </c>
      <c r="G285" s="170">
        <f t="shared" si="42"/>
        <v>0</v>
      </c>
      <c r="H285" s="170">
        <f t="shared" si="43"/>
        <v>0</v>
      </c>
      <c r="I285" s="170">
        <f t="shared" si="39"/>
        <v>0</v>
      </c>
      <c r="J285" s="170">
        <f>SUM($H$18:$H285)</f>
        <v>45254.319860854652</v>
      </c>
    </row>
    <row r="286" spans="1:10" x14ac:dyDescent="0.3">
      <c r="A286" s="168">
        <f t="shared" si="40"/>
        <v>269</v>
      </c>
      <c r="B286" s="169">
        <f t="shared" si="36"/>
        <v>54210</v>
      </c>
      <c r="C286" s="170">
        <f t="shared" si="41"/>
        <v>0</v>
      </c>
      <c r="D286" s="170">
        <f t="shared" si="44"/>
        <v>2460.4526655071218</v>
      </c>
      <c r="E286" s="171">
        <f t="shared" si="37"/>
        <v>0</v>
      </c>
      <c r="F286" s="170">
        <f t="shared" si="38"/>
        <v>0</v>
      </c>
      <c r="G286" s="170">
        <f t="shared" si="42"/>
        <v>0</v>
      </c>
      <c r="H286" s="170">
        <f t="shared" si="43"/>
        <v>0</v>
      </c>
      <c r="I286" s="170">
        <f t="shared" si="39"/>
        <v>0</v>
      </c>
      <c r="J286" s="170">
        <f>SUM($H$18:$H286)</f>
        <v>45254.319860854652</v>
      </c>
    </row>
    <row r="287" spans="1:10" x14ac:dyDescent="0.3">
      <c r="A287" s="168">
        <f t="shared" si="40"/>
        <v>270</v>
      </c>
      <c r="B287" s="169">
        <f t="shared" si="36"/>
        <v>54240</v>
      </c>
      <c r="C287" s="170">
        <f t="shared" si="41"/>
        <v>0</v>
      </c>
      <c r="D287" s="170">
        <f t="shared" si="44"/>
        <v>2460.4526655071218</v>
      </c>
      <c r="E287" s="171">
        <f t="shared" si="37"/>
        <v>0</v>
      </c>
      <c r="F287" s="170">
        <f t="shared" si="38"/>
        <v>0</v>
      </c>
      <c r="G287" s="170">
        <f t="shared" si="42"/>
        <v>0</v>
      </c>
      <c r="H287" s="170">
        <f t="shared" si="43"/>
        <v>0</v>
      </c>
      <c r="I287" s="170">
        <f t="shared" si="39"/>
        <v>0</v>
      </c>
      <c r="J287" s="170">
        <f>SUM($H$18:$H287)</f>
        <v>45254.319860854652</v>
      </c>
    </row>
    <row r="288" spans="1:10" x14ac:dyDescent="0.3">
      <c r="A288" s="168">
        <f t="shared" si="40"/>
        <v>271</v>
      </c>
      <c r="B288" s="169">
        <f t="shared" si="36"/>
        <v>54271</v>
      </c>
      <c r="C288" s="170">
        <f t="shared" si="41"/>
        <v>0</v>
      </c>
      <c r="D288" s="170">
        <f t="shared" si="44"/>
        <v>2460.4526655071218</v>
      </c>
      <c r="E288" s="171">
        <f t="shared" si="37"/>
        <v>0</v>
      </c>
      <c r="F288" s="170">
        <f t="shared" si="38"/>
        <v>0</v>
      </c>
      <c r="G288" s="170">
        <f t="shared" si="42"/>
        <v>0</v>
      </c>
      <c r="H288" s="170">
        <f t="shared" si="43"/>
        <v>0</v>
      </c>
      <c r="I288" s="170">
        <f t="shared" si="39"/>
        <v>0</v>
      </c>
      <c r="J288" s="170">
        <f>SUM($H$18:$H288)</f>
        <v>45254.319860854652</v>
      </c>
    </row>
    <row r="289" spans="1:10" x14ac:dyDescent="0.3">
      <c r="A289" s="168">
        <f t="shared" si="40"/>
        <v>272</v>
      </c>
      <c r="B289" s="169">
        <f t="shared" si="36"/>
        <v>54302</v>
      </c>
      <c r="C289" s="170">
        <f t="shared" si="41"/>
        <v>0</v>
      </c>
      <c r="D289" s="170">
        <f t="shared" si="44"/>
        <v>2460.4526655071218</v>
      </c>
      <c r="E289" s="171">
        <f t="shared" si="37"/>
        <v>0</v>
      </c>
      <c r="F289" s="170">
        <f t="shared" si="38"/>
        <v>0</v>
      </c>
      <c r="G289" s="170">
        <f t="shared" si="42"/>
        <v>0</v>
      </c>
      <c r="H289" s="170">
        <f t="shared" si="43"/>
        <v>0</v>
      </c>
      <c r="I289" s="170">
        <f t="shared" si="39"/>
        <v>0</v>
      </c>
      <c r="J289" s="170">
        <f>SUM($H$18:$H289)</f>
        <v>45254.319860854652</v>
      </c>
    </row>
    <row r="290" spans="1:10" x14ac:dyDescent="0.3">
      <c r="A290" s="168">
        <f t="shared" si="40"/>
        <v>273</v>
      </c>
      <c r="B290" s="169">
        <f t="shared" si="36"/>
        <v>54332</v>
      </c>
      <c r="C290" s="170">
        <f t="shared" si="41"/>
        <v>0</v>
      </c>
      <c r="D290" s="170">
        <f t="shared" si="44"/>
        <v>2460.4526655071218</v>
      </c>
      <c r="E290" s="171">
        <f t="shared" si="37"/>
        <v>0</v>
      </c>
      <c r="F290" s="170">
        <f t="shared" si="38"/>
        <v>0</v>
      </c>
      <c r="G290" s="170">
        <f t="shared" si="42"/>
        <v>0</v>
      </c>
      <c r="H290" s="170">
        <f t="shared" si="43"/>
        <v>0</v>
      </c>
      <c r="I290" s="170">
        <f t="shared" si="39"/>
        <v>0</v>
      </c>
      <c r="J290" s="170">
        <f>SUM($H$18:$H290)</f>
        <v>45254.319860854652</v>
      </c>
    </row>
    <row r="291" spans="1:10" x14ac:dyDescent="0.3">
      <c r="A291" s="168">
        <f t="shared" si="40"/>
        <v>274</v>
      </c>
      <c r="B291" s="169">
        <f t="shared" si="36"/>
        <v>54363</v>
      </c>
      <c r="C291" s="170">
        <f t="shared" si="41"/>
        <v>0</v>
      </c>
      <c r="D291" s="170">
        <f t="shared" si="44"/>
        <v>2460.4526655071218</v>
      </c>
      <c r="E291" s="171">
        <f t="shared" si="37"/>
        <v>0</v>
      </c>
      <c r="F291" s="170">
        <f t="shared" si="38"/>
        <v>0</v>
      </c>
      <c r="G291" s="170">
        <f t="shared" si="42"/>
        <v>0</v>
      </c>
      <c r="H291" s="170">
        <f t="shared" si="43"/>
        <v>0</v>
      </c>
      <c r="I291" s="170">
        <f t="shared" si="39"/>
        <v>0</v>
      </c>
      <c r="J291" s="170">
        <f>SUM($H$18:$H291)</f>
        <v>45254.319860854652</v>
      </c>
    </row>
    <row r="292" spans="1:10" x14ac:dyDescent="0.3">
      <c r="A292" s="168">
        <f t="shared" si="40"/>
        <v>275</v>
      </c>
      <c r="B292" s="169">
        <f t="shared" si="36"/>
        <v>54393</v>
      </c>
      <c r="C292" s="170">
        <f t="shared" si="41"/>
        <v>0</v>
      </c>
      <c r="D292" s="170">
        <f t="shared" si="44"/>
        <v>2460.4526655071218</v>
      </c>
      <c r="E292" s="171">
        <f t="shared" si="37"/>
        <v>0</v>
      </c>
      <c r="F292" s="170">
        <f t="shared" si="38"/>
        <v>0</v>
      </c>
      <c r="G292" s="170">
        <f t="shared" si="42"/>
        <v>0</v>
      </c>
      <c r="H292" s="170">
        <f t="shared" si="43"/>
        <v>0</v>
      </c>
      <c r="I292" s="170">
        <f t="shared" si="39"/>
        <v>0</v>
      </c>
      <c r="J292" s="170">
        <f>SUM($H$18:$H292)</f>
        <v>45254.319860854652</v>
      </c>
    </row>
    <row r="293" spans="1:10" x14ac:dyDescent="0.3">
      <c r="A293" s="168">
        <f t="shared" si="40"/>
        <v>276</v>
      </c>
      <c r="B293" s="169">
        <f t="shared" si="36"/>
        <v>54424</v>
      </c>
      <c r="C293" s="170">
        <f t="shared" si="41"/>
        <v>0</v>
      </c>
      <c r="D293" s="170">
        <f t="shared" si="44"/>
        <v>2460.4526655071218</v>
      </c>
      <c r="E293" s="171">
        <f t="shared" si="37"/>
        <v>0</v>
      </c>
      <c r="F293" s="170">
        <f t="shared" si="38"/>
        <v>0</v>
      </c>
      <c r="G293" s="170">
        <f t="shared" si="42"/>
        <v>0</v>
      </c>
      <c r="H293" s="170">
        <f t="shared" si="43"/>
        <v>0</v>
      </c>
      <c r="I293" s="170">
        <f t="shared" si="39"/>
        <v>0</v>
      </c>
      <c r="J293" s="170">
        <f>SUM($H$18:$H293)</f>
        <v>45254.319860854652</v>
      </c>
    </row>
    <row r="294" spans="1:10" x14ac:dyDescent="0.3">
      <c r="A294" s="168">
        <f t="shared" si="40"/>
        <v>277</v>
      </c>
      <c r="B294" s="169">
        <f t="shared" si="36"/>
        <v>54455</v>
      </c>
      <c r="C294" s="170">
        <f t="shared" si="41"/>
        <v>0</v>
      </c>
      <c r="D294" s="170">
        <f t="shared" si="44"/>
        <v>2460.4526655071218</v>
      </c>
      <c r="E294" s="171">
        <f t="shared" si="37"/>
        <v>0</v>
      </c>
      <c r="F294" s="170">
        <f t="shared" si="38"/>
        <v>0</v>
      </c>
      <c r="G294" s="170">
        <f t="shared" si="42"/>
        <v>0</v>
      </c>
      <c r="H294" s="170">
        <f t="shared" si="43"/>
        <v>0</v>
      </c>
      <c r="I294" s="170">
        <f t="shared" si="39"/>
        <v>0</v>
      </c>
      <c r="J294" s="170">
        <f>SUM($H$18:$H294)</f>
        <v>45254.319860854652</v>
      </c>
    </row>
    <row r="295" spans="1:10" x14ac:dyDescent="0.3">
      <c r="A295" s="168">
        <f t="shared" si="40"/>
        <v>278</v>
      </c>
      <c r="B295" s="169">
        <f t="shared" si="36"/>
        <v>54483</v>
      </c>
      <c r="C295" s="170">
        <f t="shared" si="41"/>
        <v>0</v>
      </c>
      <c r="D295" s="170">
        <f t="shared" si="44"/>
        <v>2460.4526655071218</v>
      </c>
      <c r="E295" s="171">
        <f t="shared" si="37"/>
        <v>0</v>
      </c>
      <c r="F295" s="170">
        <f t="shared" si="38"/>
        <v>0</v>
      </c>
      <c r="G295" s="170">
        <f t="shared" si="42"/>
        <v>0</v>
      </c>
      <c r="H295" s="170">
        <f t="shared" si="43"/>
        <v>0</v>
      </c>
      <c r="I295" s="170">
        <f t="shared" si="39"/>
        <v>0</v>
      </c>
      <c r="J295" s="170">
        <f>SUM($H$18:$H295)</f>
        <v>45254.319860854652</v>
      </c>
    </row>
    <row r="296" spans="1:10" x14ac:dyDescent="0.3">
      <c r="A296" s="168">
        <f t="shared" si="40"/>
        <v>279</v>
      </c>
      <c r="B296" s="169">
        <f t="shared" si="36"/>
        <v>54514</v>
      </c>
      <c r="C296" s="170">
        <f t="shared" si="41"/>
        <v>0</v>
      </c>
      <c r="D296" s="170">
        <f t="shared" si="44"/>
        <v>2460.4526655071218</v>
      </c>
      <c r="E296" s="171">
        <f t="shared" si="37"/>
        <v>0</v>
      </c>
      <c r="F296" s="170">
        <f t="shared" si="38"/>
        <v>0</v>
      </c>
      <c r="G296" s="170">
        <f t="shared" si="42"/>
        <v>0</v>
      </c>
      <c r="H296" s="170">
        <f t="shared" si="43"/>
        <v>0</v>
      </c>
      <c r="I296" s="170">
        <f t="shared" si="39"/>
        <v>0</v>
      </c>
      <c r="J296" s="170">
        <f>SUM($H$18:$H296)</f>
        <v>45254.319860854652</v>
      </c>
    </row>
    <row r="297" spans="1:10" x14ac:dyDescent="0.3">
      <c r="A297" s="168">
        <f t="shared" si="40"/>
        <v>280</v>
      </c>
      <c r="B297" s="169">
        <f t="shared" si="36"/>
        <v>54544</v>
      </c>
      <c r="C297" s="170">
        <f t="shared" si="41"/>
        <v>0</v>
      </c>
      <c r="D297" s="170">
        <f t="shared" si="44"/>
        <v>2460.4526655071218</v>
      </c>
      <c r="E297" s="171">
        <f t="shared" si="37"/>
        <v>0</v>
      </c>
      <c r="F297" s="170">
        <f t="shared" si="38"/>
        <v>0</v>
      </c>
      <c r="G297" s="170">
        <f t="shared" si="42"/>
        <v>0</v>
      </c>
      <c r="H297" s="170">
        <f t="shared" si="43"/>
        <v>0</v>
      </c>
      <c r="I297" s="170">
        <f t="shared" si="39"/>
        <v>0</v>
      </c>
      <c r="J297" s="170">
        <f>SUM($H$18:$H297)</f>
        <v>45254.319860854652</v>
      </c>
    </row>
    <row r="298" spans="1:10" x14ac:dyDescent="0.3">
      <c r="A298" s="168">
        <f t="shared" si="40"/>
        <v>281</v>
      </c>
      <c r="B298" s="169">
        <f t="shared" si="36"/>
        <v>54575</v>
      </c>
      <c r="C298" s="170">
        <f t="shared" si="41"/>
        <v>0</v>
      </c>
      <c r="D298" s="170">
        <f t="shared" si="44"/>
        <v>2460.4526655071218</v>
      </c>
      <c r="E298" s="171">
        <f t="shared" si="37"/>
        <v>0</v>
      </c>
      <c r="F298" s="170">
        <f t="shared" si="38"/>
        <v>0</v>
      </c>
      <c r="G298" s="170">
        <f t="shared" si="42"/>
        <v>0</v>
      </c>
      <c r="H298" s="170">
        <f t="shared" si="43"/>
        <v>0</v>
      </c>
      <c r="I298" s="170">
        <f t="shared" si="39"/>
        <v>0</v>
      </c>
      <c r="J298" s="170">
        <f>SUM($H$18:$H298)</f>
        <v>45254.319860854652</v>
      </c>
    </row>
    <row r="299" spans="1:10" x14ac:dyDescent="0.3">
      <c r="A299" s="168">
        <f t="shared" si="40"/>
        <v>282</v>
      </c>
      <c r="B299" s="169">
        <f t="shared" si="36"/>
        <v>54605</v>
      </c>
      <c r="C299" s="170">
        <f t="shared" si="41"/>
        <v>0</v>
      </c>
      <c r="D299" s="170">
        <f t="shared" si="44"/>
        <v>2460.4526655071218</v>
      </c>
      <c r="E299" s="171">
        <f t="shared" si="37"/>
        <v>0</v>
      </c>
      <c r="F299" s="170">
        <f t="shared" si="38"/>
        <v>0</v>
      </c>
      <c r="G299" s="170">
        <f t="shared" si="42"/>
        <v>0</v>
      </c>
      <c r="H299" s="170">
        <f t="shared" si="43"/>
        <v>0</v>
      </c>
      <c r="I299" s="170">
        <f t="shared" si="39"/>
        <v>0</v>
      </c>
      <c r="J299" s="170">
        <f>SUM($H$18:$H299)</f>
        <v>45254.319860854652</v>
      </c>
    </row>
    <row r="300" spans="1:10" x14ac:dyDescent="0.3">
      <c r="A300" s="168">
        <f t="shared" si="40"/>
        <v>283</v>
      </c>
      <c r="B300" s="169">
        <f t="shared" si="36"/>
        <v>54636</v>
      </c>
      <c r="C300" s="170">
        <f t="shared" si="41"/>
        <v>0</v>
      </c>
      <c r="D300" s="170">
        <f t="shared" si="44"/>
        <v>2460.4526655071218</v>
      </c>
      <c r="E300" s="171">
        <f t="shared" si="37"/>
        <v>0</v>
      </c>
      <c r="F300" s="170">
        <f t="shared" si="38"/>
        <v>0</v>
      </c>
      <c r="G300" s="170">
        <f t="shared" si="42"/>
        <v>0</v>
      </c>
      <c r="H300" s="170">
        <f t="shared" si="43"/>
        <v>0</v>
      </c>
      <c r="I300" s="170">
        <f t="shared" si="39"/>
        <v>0</v>
      </c>
      <c r="J300" s="170">
        <f>SUM($H$18:$H300)</f>
        <v>45254.319860854652</v>
      </c>
    </row>
    <row r="301" spans="1:10" x14ac:dyDescent="0.3">
      <c r="A301" s="168">
        <f t="shared" si="40"/>
        <v>284</v>
      </c>
      <c r="B301" s="169">
        <f t="shared" si="36"/>
        <v>54667</v>
      </c>
      <c r="C301" s="170">
        <f t="shared" si="41"/>
        <v>0</v>
      </c>
      <c r="D301" s="170">
        <f t="shared" si="44"/>
        <v>2460.4526655071218</v>
      </c>
      <c r="E301" s="171">
        <f t="shared" si="37"/>
        <v>0</v>
      </c>
      <c r="F301" s="170">
        <f t="shared" si="38"/>
        <v>0</v>
      </c>
      <c r="G301" s="170">
        <f t="shared" si="42"/>
        <v>0</v>
      </c>
      <c r="H301" s="170">
        <f t="shared" si="43"/>
        <v>0</v>
      </c>
      <c r="I301" s="170">
        <f t="shared" si="39"/>
        <v>0</v>
      </c>
      <c r="J301" s="170">
        <f>SUM($H$18:$H301)</f>
        <v>45254.319860854652</v>
      </c>
    </row>
    <row r="302" spans="1:10" x14ac:dyDescent="0.3">
      <c r="A302" s="168">
        <f t="shared" si="40"/>
        <v>285</v>
      </c>
      <c r="B302" s="169">
        <f t="shared" si="36"/>
        <v>54697</v>
      </c>
      <c r="C302" s="170">
        <f t="shared" si="41"/>
        <v>0</v>
      </c>
      <c r="D302" s="170">
        <f t="shared" si="44"/>
        <v>2460.4526655071218</v>
      </c>
      <c r="E302" s="171">
        <f t="shared" si="37"/>
        <v>0</v>
      </c>
      <c r="F302" s="170">
        <f t="shared" si="38"/>
        <v>0</v>
      </c>
      <c r="G302" s="170">
        <f t="shared" si="42"/>
        <v>0</v>
      </c>
      <c r="H302" s="170">
        <f t="shared" si="43"/>
        <v>0</v>
      </c>
      <c r="I302" s="170">
        <f t="shared" si="39"/>
        <v>0</v>
      </c>
      <c r="J302" s="170">
        <f>SUM($H$18:$H302)</f>
        <v>45254.319860854652</v>
      </c>
    </row>
    <row r="303" spans="1:10" x14ac:dyDescent="0.3">
      <c r="A303" s="168">
        <f t="shared" si="40"/>
        <v>286</v>
      </c>
      <c r="B303" s="169">
        <f t="shared" si="36"/>
        <v>54728</v>
      </c>
      <c r="C303" s="170">
        <f t="shared" si="41"/>
        <v>0</v>
      </c>
      <c r="D303" s="170">
        <f t="shared" si="44"/>
        <v>2460.4526655071218</v>
      </c>
      <c r="E303" s="171">
        <f t="shared" si="37"/>
        <v>0</v>
      </c>
      <c r="F303" s="170">
        <f t="shared" si="38"/>
        <v>0</v>
      </c>
      <c r="G303" s="170">
        <f t="shared" si="42"/>
        <v>0</v>
      </c>
      <c r="H303" s="170">
        <f t="shared" si="43"/>
        <v>0</v>
      </c>
      <c r="I303" s="170">
        <f t="shared" si="39"/>
        <v>0</v>
      </c>
      <c r="J303" s="170">
        <f>SUM($H$18:$H303)</f>
        <v>45254.319860854652</v>
      </c>
    </row>
    <row r="304" spans="1:10" x14ac:dyDescent="0.3">
      <c r="A304" s="168">
        <f t="shared" si="40"/>
        <v>287</v>
      </c>
      <c r="B304" s="169">
        <f t="shared" si="36"/>
        <v>54758</v>
      </c>
      <c r="C304" s="170">
        <f t="shared" si="41"/>
        <v>0</v>
      </c>
      <c r="D304" s="170">
        <f t="shared" si="44"/>
        <v>2460.4526655071218</v>
      </c>
      <c r="E304" s="171">
        <f t="shared" si="37"/>
        <v>0</v>
      </c>
      <c r="F304" s="170">
        <f t="shared" si="38"/>
        <v>0</v>
      </c>
      <c r="G304" s="170">
        <f t="shared" si="42"/>
        <v>0</v>
      </c>
      <c r="H304" s="170">
        <f t="shared" si="43"/>
        <v>0</v>
      </c>
      <c r="I304" s="170">
        <f t="shared" si="39"/>
        <v>0</v>
      </c>
      <c r="J304" s="170">
        <f>SUM($H$18:$H304)</f>
        <v>45254.319860854652</v>
      </c>
    </row>
    <row r="305" spans="1:10" x14ac:dyDescent="0.3">
      <c r="A305" s="168">
        <f t="shared" si="40"/>
        <v>288</v>
      </c>
      <c r="B305" s="169">
        <f t="shared" si="36"/>
        <v>54789</v>
      </c>
      <c r="C305" s="170">
        <f t="shared" si="41"/>
        <v>0</v>
      </c>
      <c r="D305" s="170">
        <f t="shared" si="44"/>
        <v>2460.4526655071218</v>
      </c>
      <c r="E305" s="171">
        <f t="shared" si="37"/>
        <v>0</v>
      </c>
      <c r="F305" s="170">
        <f t="shared" si="38"/>
        <v>0</v>
      </c>
      <c r="G305" s="170">
        <f t="shared" si="42"/>
        <v>0</v>
      </c>
      <c r="H305" s="170">
        <f t="shared" si="43"/>
        <v>0</v>
      </c>
      <c r="I305" s="170">
        <f t="shared" si="39"/>
        <v>0</v>
      </c>
      <c r="J305" s="170">
        <f>SUM($H$18:$H305)</f>
        <v>45254.319860854652</v>
      </c>
    </row>
    <row r="306" spans="1:10" x14ac:dyDescent="0.3">
      <c r="A306" s="168">
        <f t="shared" si="40"/>
        <v>289</v>
      </c>
      <c r="B306" s="169">
        <f t="shared" si="36"/>
        <v>54820</v>
      </c>
      <c r="C306" s="170">
        <f t="shared" si="41"/>
        <v>0</v>
      </c>
      <c r="D306" s="170">
        <f t="shared" si="44"/>
        <v>2460.4526655071218</v>
      </c>
      <c r="E306" s="171">
        <f t="shared" si="37"/>
        <v>0</v>
      </c>
      <c r="F306" s="170">
        <f t="shared" si="38"/>
        <v>0</v>
      </c>
      <c r="G306" s="170">
        <f t="shared" si="42"/>
        <v>0</v>
      </c>
      <c r="H306" s="170">
        <f t="shared" si="43"/>
        <v>0</v>
      </c>
      <c r="I306" s="170">
        <f t="shared" si="39"/>
        <v>0</v>
      </c>
      <c r="J306" s="170">
        <f>SUM($H$18:$H306)</f>
        <v>45254.319860854652</v>
      </c>
    </row>
    <row r="307" spans="1:10" x14ac:dyDescent="0.3">
      <c r="A307" s="168">
        <f t="shared" si="40"/>
        <v>290</v>
      </c>
      <c r="B307" s="169">
        <f t="shared" si="36"/>
        <v>54848</v>
      </c>
      <c r="C307" s="170">
        <f t="shared" si="41"/>
        <v>0</v>
      </c>
      <c r="D307" s="170">
        <f t="shared" si="44"/>
        <v>2460.4526655071218</v>
      </c>
      <c r="E307" s="171">
        <f t="shared" si="37"/>
        <v>0</v>
      </c>
      <c r="F307" s="170">
        <f t="shared" si="38"/>
        <v>0</v>
      </c>
      <c r="G307" s="170">
        <f t="shared" si="42"/>
        <v>0</v>
      </c>
      <c r="H307" s="170">
        <f t="shared" si="43"/>
        <v>0</v>
      </c>
      <c r="I307" s="170">
        <f t="shared" si="39"/>
        <v>0</v>
      </c>
      <c r="J307" s="170">
        <f>SUM($H$18:$H307)</f>
        <v>45254.319860854652</v>
      </c>
    </row>
    <row r="308" spans="1:10" x14ac:dyDescent="0.3">
      <c r="A308" s="168">
        <f t="shared" si="40"/>
        <v>291</v>
      </c>
      <c r="B308" s="169">
        <f t="shared" si="36"/>
        <v>54879</v>
      </c>
      <c r="C308" s="170">
        <f t="shared" si="41"/>
        <v>0</v>
      </c>
      <c r="D308" s="170">
        <f t="shared" si="44"/>
        <v>2460.4526655071218</v>
      </c>
      <c r="E308" s="171">
        <f t="shared" si="37"/>
        <v>0</v>
      </c>
      <c r="F308" s="170">
        <f t="shared" si="38"/>
        <v>0</v>
      </c>
      <c r="G308" s="170">
        <f t="shared" si="42"/>
        <v>0</v>
      </c>
      <c r="H308" s="170">
        <f t="shared" si="43"/>
        <v>0</v>
      </c>
      <c r="I308" s="170">
        <f t="shared" si="39"/>
        <v>0</v>
      </c>
      <c r="J308" s="170">
        <f>SUM($H$18:$H308)</f>
        <v>45254.319860854652</v>
      </c>
    </row>
    <row r="309" spans="1:10" x14ac:dyDescent="0.3">
      <c r="A309" s="168">
        <f t="shared" si="40"/>
        <v>292</v>
      </c>
      <c r="B309" s="169">
        <f t="shared" si="36"/>
        <v>54909</v>
      </c>
      <c r="C309" s="170">
        <f t="shared" si="41"/>
        <v>0</v>
      </c>
      <c r="D309" s="170">
        <f t="shared" si="44"/>
        <v>2460.4526655071218</v>
      </c>
      <c r="E309" s="171">
        <f t="shared" si="37"/>
        <v>0</v>
      </c>
      <c r="F309" s="170">
        <f t="shared" si="38"/>
        <v>0</v>
      </c>
      <c r="G309" s="170">
        <f t="shared" si="42"/>
        <v>0</v>
      </c>
      <c r="H309" s="170">
        <f t="shared" si="43"/>
        <v>0</v>
      </c>
      <c r="I309" s="170">
        <f t="shared" si="39"/>
        <v>0</v>
      </c>
      <c r="J309" s="170">
        <f>SUM($H$18:$H309)</f>
        <v>45254.319860854652</v>
      </c>
    </row>
    <row r="310" spans="1:10" x14ac:dyDescent="0.3">
      <c r="A310" s="168">
        <f t="shared" si="40"/>
        <v>293</v>
      </c>
      <c r="B310" s="169">
        <f t="shared" si="36"/>
        <v>54940</v>
      </c>
      <c r="C310" s="170">
        <f t="shared" si="41"/>
        <v>0</v>
      </c>
      <c r="D310" s="170">
        <f t="shared" si="44"/>
        <v>2460.4526655071218</v>
      </c>
      <c r="E310" s="171">
        <f t="shared" si="37"/>
        <v>0</v>
      </c>
      <c r="F310" s="170">
        <f t="shared" si="38"/>
        <v>0</v>
      </c>
      <c r="G310" s="170">
        <f t="shared" si="42"/>
        <v>0</v>
      </c>
      <c r="H310" s="170">
        <f t="shared" si="43"/>
        <v>0</v>
      </c>
      <c r="I310" s="170">
        <f t="shared" si="39"/>
        <v>0</v>
      </c>
      <c r="J310" s="170">
        <f>SUM($H$18:$H310)</f>
        <v>45254.319860854652</v>
      </c>
    </row>
    <row r="311" spans="1:10" x14ac:dyDescent="0.3">
      <c r="A311" s="168">
        <f t="shared" si="40"/>
        <v>294</v>
      </c>
      <c r="B311" s="169">
        <f t="shared" si="36"/>
        <v>54970</v>
      </c>
      <c r="C311" s="170">
        <f t="shared" si="41"/>
        <v>0</v>
      </c>
      <c r="D311" s="170">
        <f t="shared" si="44"/>
        <v>2460.4526655071218</v>
      </c>
      <c r="E311" s="171">
        <f t="shared" si="37"/>
        <v>0</v>
      </c>
      <c r="F311" s="170">
        <f t="shared" si="38"/>
        <v>0</v>
      </c>
      <c r="G311" s="170">
        <f t="shared" si="42"/>
        <v>0</v>
      </c>
      <c r="H311" s="170">
        <f t="shared" si="43"/>
        <v>0</v>
      </c>
      <c r="I311" s="170">
        <f t="shared" si="39"/>
        <v>0</v>
      </c>
      <c r="J311" s="170">
        <f>SUM($H$18:$H311)</f>
        <v>45254.319860854652</v>
      </c>
    </row>
    <row r="312" spans="1:10" x14ac:dyDescent="0.3">
      <c r="A312" s="168">
        <f t="shared" si="40"/>
        <v>295</v>
      </c>
      <c r="B312" s="169">
        <f t="shared" si="36"/>
        <v>55001</v>
      </c>
      <c r="C312" s="170">
        <f t="shared" si="41"/>
        <v>0</v>
      </c>
      <c r="D312" s="170">
        <f t="shared" si="44"/>
        <v>2460.4526655071218</v>
      </c>
      <c r="E312" s="171">
        <f t="shared" si="37"/>
        <v>0</v>
      </c>
      <c r="F312" s="170">
        <f t="shared" si="38"/>
        <v>0</v>
      </c>
      <c r="G312" s="170">
        <f t="shared" si="42"/>
        <v>0</v>
      </c>
      <c r="H312" s="170">
        <f t="shared" si="43"/>
        <v>0</v>
      </c>
      <c r="I312" s="170">
        <f t="shared" si="39"/>
        <v>0</v>
      </c>
      <c r="J312" s="170">
        <f>SUM($H$18:$H312)</f>
        <v>45254.319860854652</v>
      </c>
    </row>
    <row r="313" spans="1:10" x14ac:dyDescent="0.3">
      <c r="A313" s="168">
        <f t="shared" si="40"/>
        <v>296</v>
      </c>
      <c r="B313" s="169">
        <f t="shared" si="36"/>
        <v>55032</v>
      </c>
      <c r="C313" s="170">
        <f t="shared" si="41"/>
        <v>0</v>
      </c>
      <c r="D313" s="170">
        <f t="shared" si="44"/>
        <v>2460.4526655071218</v>
      </c>
      <c r="E313" s="171">
        <f t="shared" si="37"/>
        <v>0</v>
      </c>
      <c r="F313" s="170">
        <f t="shared" si="38"/>
        <v>0</v>
      </c>
      <c r="G313" s="170">
        <f t="shared" si="42"/>
        <v>0</v>
      </c>
      <c r="H313" s="170">
        <f t="shared" si="43"/>
        <v>0</v>
      </c>
      <c r="I313" s="170">
        <f t="shared" si="39"/>
        <v>0</v>
      </c>
      <c r="J313" s="170">
        <f>SUM($H$18:$H313)</f>
        <v>45254.319860854652</v>
      </c>
    </row>
    <row r="314" spans="1:10" x14ac:dyDescent="0.3">
      <c r="A314" s="168">
        <f t="shared" si="40"/>
        <v>297</v>
      </c>
      <c r="B314" s="169">
        <f t="shared" si="36"/>
        <v>55062</v>
      </c>
      <c r="C314" s="170">
        <f t="shared" si="41"/>
        <v>0</v>
      </c>
      <c r="D314" s="170">
        <f t="shared" si="44"/>
        <v>2460.4526655071218</v>
      </c>
      <c r="E314" s="171">
        <f t="shared" si="37"/>
        <v>0</v>
      </c>
      <c r="F314" s="170">
        <f t="shared" si="38"/>
        <v>0</v>
      </c>
      <c r="G314" s="170">
        <f t="shared" si="42"/>
        <v>0</v>
      </c>
      <c r="H314" s="170">
        <f t="shared" si="43"/>
        <v>0</v>
      </c>
      <c r="I314" s="170">
        <f t="shared" si="39"/>
        <v>0</v>
      </c>
      <c r="J314" s="170">
        <f>SUM($H$18:$H314)</f>
        <v>45254.319860854652</v>
      </c>
    </row>
    <row r="315" spans="1:10" x14ac:dyDescent="0.3">
      <c r="A315" s="168">
        <f t="shared" si="40"/>
        <v>298</v>
      </c>
      <c r="B315" s="169">
        <f t="shared" si="36"/>
        <v>55093</v>
      </c>
      <c r="C315" s="170">
        <f t="shared" si="41"/>
        <v>0</v>
      </c>
      <c r="D315" s="170">
        <f t="shared" si="44"/>
        <v>2460.4526655071218</v>
      </c>
      <c r="E315" s="171">
        <f t="shared" si="37"/>
        <v>0</v>
      </c>
      <c r="F315" s="170">
        <f t="shared" si="38"/>
        <v>0</v>
      </c>
      <c r="G315" s="170">
        <f t="shared" si="42"/>
        <v>0</v>
      </c>
      <c r="H315" s="170">
        <f t="shared" si="43"/>
        <v>0</v>
      </c>
      <c r="I315" s="170">
        <f t="shared" si="39"/>
        <v>0</v>
      </c>
      <c r="J315" s="170">
        <f>SUM($H$18:$H315)</f>
        <v>45254.319860854652</v>
      </c>
    </row>
    <row r="316" spans="1:10" x14ac:dyDescent="0.3">
      <c r="A316" s="168">
        <f t="shared" si="40"/>
        <v>299</v>
      </c>
      <c r="B316" s="169">
        <f t="shared" si="36"/>
        <v>55123</v>
      </c>
      <c r="C316" s="170">
        <f t="shared" si="41"/>
        <v>0</v>
      </c>
      <c r="D316" s="170">
        <f t="shared" si="44"/>
        <v>2460.4526655071218</v>
      </c>
      <c r="E316" s="171">
        <f t="shared" si="37"/>
        <v>0</v>
      </c>
      <c r="F316" s="170">
        <f t="shared" si="38"/>
        <v>0</v>
      </c>
      <c r="G316" s="170">
        <f t="shared" si="42"/>
        <v>0</v>
      </c>
      <c r="H316" s="170">
        <f t="shared" si="43"/>
        <v>0</v>
      </c>
      <c r="I316" s="170">
        <f t="shared" si="39"/>
        <v>0</v>
      </c>
      <c r="J316" s="170">
        <f>SUM($H$18:$H316)</f>
        <v>45254.319860854652</v>
      </c>
    </row>
    <row r="317" spans="1:10" x14ac:dyDescent="0.3">
      <c r="A317" s="168">
        <f t="shared" si="40"/>
        <v>300</v>
      </c>
      <c r="B317" s="169">
        <f t="shared" si="36"/>
        <v>55154</v>
      </c>
      <c r="C317" s="170">
        <f t="shared" si="41"/>
        <v>0</v>
      </c>
      <c r="D317" s="170">
        <f t="shared" si="44"/>
        <v>2460.4526655071218</v>
      </c>
      <c r="E317" s="171">
        <f t="shared" si="37"/>
        <v>0</v>
      </c>
      <c r="F317" s="170">
        <f t="shared" si="38"/>
        <v>0</v>
      </c>
      <c r="G317" s="170">
        <f t="shared" si="42"/>
        <v>0</v>
      </c>
      <c r="H317" s="170">
        <f t="shared" si="43"/>
        <v>0</v>
      </c>
      <c r="I317" s="170">
        <f t="shared" si="39"/>
        <v>0</v>
      </c>
      <c r="J317" s="170">
        <f>SUM($H$18:$H317)</f>
        <v>45254.319860854652</v>
      </c>
    </row>
    <row r="318" spans="1:10" x14ac:dyDescent="0.3">
      <c r="A318" s="168">
        <f t="shared" si="40"/>
        <v>301</v>
      </c>
      <c r="B318" s="169">
        <f t="shared" si="36"/>
        <v>55185</v>
      </c>
      <c r="C318" s="170">
        <f t="shared" si="41"/>
        <v>0</v>
      </c>
      <c r="D318" s="170">
        <f t="shared" si="44"/>
        <v>2460.4526655071218</v>
      </c>
      <c r="E318" s="171">
        <f t="shared" si="37"/>
        <v>0</v>
      </c>
      <c r="F318" s="170">
        <f t="shared" si="38"/>
        <v>0</v>
      </c>
      <c r="G318" s="170">
        <f t="shared" si="42"/>
        <v>0</v>
      </c>
      <c r="H318" s="170">
        <f t="shared" si="43"/>
        <v>0</v>
      </c>
      <c r="I318" s="170">
        <f t="shared" si="39"/>
        <v>0</v>
      </c>
      <c r="J318" s="170">
        <f>SUM($H$18:$H318)</f>
        <v>45254.319860854652</v>
      </c>
    </row>
    <row r="319" spans="1:10" x14ac:dyDescent="0.3">
      <c r="A319" s="168">
        <f t="shared" si="40"/>
        <v>302</v>
      </c>
      <c r="B319" s="169">
        <f t="shared" si="36"/>
        <v>55213</v>
      </c>
      <c r="C319" s="170">
        <f t="shared" si="41"/>
        <v>0</v>
      </c>
      <c r="D319" s="170">
        <f t="shared" si="44"/>
        <v>2460.4526655071218</v>
      </c>
      <c r="E319" s="171">
        <f t="shared" si="37"/>
        <v>0</v>
      </c>
      <c r="F319" s="170">
        <f t="shared" si="38"/>
        <v>0</v>
      </c>
      <c r="G319" s="170">
        <f t="shared" si="42"/>
        <v>0</v>
      </c>
      <c r="H319" s="170">
        <f t="shared" si="43"/>
        <v>0</v>
      </c>
      <c r="I319" s="170">
        <f t="shared" si="39"/>
        <v>0</v>
      </c>
      <c r="J319" s="170">
        <f>SUM($H$18:$H319)</f>
        <v>45254.319860854652</v>
      </c>
    </row>
    <row r="320" spans="1:10" x14ac:dyDescent="0.3">
      <c r="A320" s="168">
        <f t="shared" si="40"/>
        <v>303</v>
      </c>
      <c r="B320" s="169">
        <f t="shared" si="36"/>
        <v>55244</v>
      </c>
      <c r="C320" s="170">
        <f t="shared" si="41"/>
        <v>0</v>
      </c>
      <c r="D320" s="170">
        <f t="shared" si="44"/>
        <v>2460.4526655071218</v>
      </c>
      <c r="E320" s="171">
        <f t="shared" si="37"/>
        <v>0</v>
      </c>
      <c r="F320" s="170">
        <f t="shared" si="38"/>
        <v>0</v>
      </c>
      <c r="G320" s="170">
        <f t="shared" si="42"/>
        <v>0</v>
      </c>
      <c r="H320" s="170">
        <f t="shared" si="43"/>
        <v>0</v>
      </c>
      <c r="I320" s="170">
        <f t="shared" si="39"/>
        <v>0</v>
      </c>
      <c r="J320" s="170">
        <f>SUM($H$18:$H320)</f>
        <v>45254.319860854652</v>
      </c>
    </row>
    <row r="321" spans="1:10" x14ac:dyDescent="0.3">
      <c r="A321" s="168">
        <f t="shared" si="40"/>
        <v>304</v>
      </c>
      <c r="B321" s="169">
        <f t="shared" si="36"/>
        <v>55274</v>
      </c>
      <c r="C321" s="170">
        <f t="shared" si="41"/>
        <v>0</v>
      </c>
      <c r="D321" s="170">
        <f t="shared" si="44"/>
        <v>2460.4526655071218</v>
      </c>
      <c r="E321" s="171">
        <f t="shared" si="37"/>
        <v>0</v>
      </c>
      <c r="F321" s="170">
        <f t="shared" si="38"/>
        <v>0</v>
      </c>
      <c r="G321" s="170">
        <f t="shared" si="42"/>
        <v>0</v>
      </c>
      <c r="H321" s="170">
        <f t="shared" si="43"/>
        <v>0</v>
      </c>
      <c r="I321" s="170">
        <f t="shared" si="39"/>
        <v>0</v>
      </c>
      <c r="J321" s="170">
        <f>SUM($H$18:$H321)</f>
        <v>45254.319860854652</v>
      </c>
    </row>
    <row r="322" spans="1:10" x14ac:dyDescent="0.3">
      <c r="A322" s="168">
        <f t="shared" si="40"/>
        <v>305</v>
      </c>
      <c r="B322" s="169">
        <f t="shared" si="36"/>
        <v>55305</v>
      </c>
      <c r="C322" s="170">
        <f t="shared" si="41"/>
        <v>0</v>
      </c>
      <c r="D322" s="170">
        <f t="shared" si="44"/>
        <v>2460.4526655071218</v>
      </c>
      <c r="E322" s="171">
        <f t="shared" si="37"/>
        <v>0</v>
      </c>
      <c r="F322" s="170">
        <f t="shared" si="38"/>
        <v>0</v>
      </c>
      <c r="G322" s="170">
        <f t="shared" si="42"/>
        <v>0</v>
      </c>
      <c r="H322" s="170">
        <f t="shared" si="43"/>
        <v>0</v>
      </c>
      <c r="I322" s="170">
        <f t="shared" si="39"/>
        <v>0</v>
      </c>
      <c r="J322" s="170">
        <f>SUM($H$18:$H322)</f>
        <v>45254.319860854652</v>
      </c>
    </row>
    <row r="323" spans="1:10" x14ac:dyDescent="0.3">
      <c r="A323" s="168">
        <f t="shared" si="40"/>
        <v>306</v>
      </c>
      <c r="B323" s="169">
        <f t="shared" si="36"/>
        <v>55335</v>
      </c>
      <c r="C323" s="170">
        <f t="shared" si="41"/>
        <v>0</v>
      </c>
      <c r="D323" s="170">
        <f t="shared" si="44"/>
        <v>2460.4526655071218</v>
      </c>
      <c r="E323" s="171">
        <f t="shared" si="37"/>
        <v>0</v>
      </c>
      <c r="F323" s="170">
        <f t="shared" si="38"/>
        <v>0</v>
      </c>
      <c r="G323" s="170">
        <f t="shared" si="42"/>
        <v>0</v>
      </c>
      <c r="H323" s="170">
        <f t="shared" si="43"/>
        <v>0</v>
      </c>
      <c r="I323" s="170">
        <f t="shared" si="39"/>
        <v>0</v>
      </c>
      <c r="J323" s="170">
        <f>SUM($H$18:$H323)</f>
        <v>45254.319860854652</v>
      </c>
    </row>
    <row r="324" spans="1:10" x14ac:dyDescent="0.3">
      <c r="A324" s="168">
        <f t="shared" si="40"/>
        <v>307</v>
      </c>
      <c r="B324" s="169">
        <f t="shared" si="36"/>
        <v>55366</v>
      </c>
      <c r="C324" s="170">
        <f t="shared" si="41"/>
        <v>0</v>
      </c>
      <c r="D324" s="170">
        <f t="shared" si="44"/>
        <v>2460.4526655071218</v>
      </c>
      <c r="E324" s="171">
        <f t="shared" si="37"/>
        <v>0</v>
      </c>
      <c r="F324" s="170">
        <f t="shared" si="38"/>
        <v>0</v>
      </c>
      <c r="G324" s="170">
        <f t="shared" si="42"/>
        <v>0</v>
      </c>
      <c r="H324" s="170">
        <f t="shared" si="43"/>
        <v>0</v>
      </c>
      <c r="I324" s="170">
        <f t="shared" si="39"/>
        <v>0</v>
      </c>
      <c r="J324" s="170">
        <f>SUM($H$18:$H324)</f>
        <v>45254.319860854652</v>
      </c>
    </row>
    <row r="325" spans="1:10" x14ac:dyDescent="0.3">
      <c r="A325" s="168">
        <f t="shared" si="40"/>
        <v>308</v>
      </c>
      <c r="B325" s="169">
        <f t="shared" si="36"/>
        <v>55397</v>
      </c>
      <c r="C325" s="170">
        <f t="shared" si="41"/>
        <v>0</v>
      </c>
      <c r="D325" s="170">
        <f t="shared" si="44"/>
        <v>2460.4526655071218</v>
      </c>
      <c r="E325" s="171">
        <f t="shared" si="37"/>
        <v>0</v>
      </c>
      <c r="F325" s="170">
        <f t="shared" si="38"/>
        <v>0</v>
      </c>
      <c r="G325" s="170">
        <f t="shared" si="42"/>
        <v>0</v>
      </c>
      <c r="H325" s="170">
        <f t="shared" si="43"/>
        <v>0</v>
      </c>
      <c r="I325" s="170">
        <f t="shared" si="39"/>
        <v>0</v>
      </c>
      <c r="J325" s="170">
        <f>SUM($H$18:$H325)</f>
        <v>45254.319860854652</v>
      </c>
    </row>
    <row r="326" spans="1:10" x14ac:dyDescent="0.3">
      <c r="A326" s="168">
        <f t="shared" si="40"/>
        <v>309</v>
      </c>
      <c r="B326" s="169">
        <f t="shared" si="36"/>
        <v>55427</v>
      </c>
      <c r="C326" s="170">
        <f t="shared" si="41"/>
        <v>0</v>
      </c>
      <c r="D326" s="170">
        <f t="shared" si="44"/>
        <v>2460.4526655071218</v>
      </c>
      <c r="E326" s="171">
        <f t="shared" si="37"/>
        <v>0</v>
      </c>
      <c r="F326" s="170">
        <f t="shared" si="38"/>
        <v>0</v>
      </c>
      <c r="G326" s="170">
        <f t="shared" si="42"/>
        <v>0</v>
      </c>
      <c r="H326" s="170">
        <f t="shared" si="43"/>
        <v>0</v>
      </c>
      <c r="I326" s="170">
        <f t="shared" si="39"/>
        <v>0</v>
      </c>
      <c r="J326" s="170">
        <f>SUM($H$18:$H326)</f>
        <v>45254.319860854652</v>
      </c>
    </row>
    <row r="327" spans="1:10" x14ac:dyDescent="0.3">
      <c r="A327" s="168">
        <f t="shared" si="40"/>
        <v>310</v>
      </c>
      <c r="B327" s="169">
        <f t="shared" si="36"/>
        <v>55458</v>
      </c>
      <c r="C327" s="170">
        <f t="shared" si="41"/>
        <v>0</v>
      </c>
      <c r="D327" s="170">
        <f t="shared" si="44"/>
        <v>2460.4526655071218</v>
      </c>
      <c r="E327" s="171">
        <f t="shared" si="37"/>
        <v>0</v>
      </c>
      <c r="F327" s="170">
        <f t="shared" si="38"/>
        <v>0</v>
      </c>
      <c r="G327" s="170">
        <f t="shared" si="42"/>
        <v>0</v>
      </c>
      <c r="H327" s="170">
        <f t="shared" si="43"/>
        <v>0</v>
      </c>
      <c r="I327" s="170">
        <f t="shared" si="39"/>
        <v>0</v>
      </c>
      <c r="J327" s="170">
        <f>SUM($H$18:$H327)</f>
        <v>45254.319860854652</v>
      </c>
    </row>
    <row r="328" spans="1:10" x14ac:dyDescent="0.3">
      <c r="A328" s="168">
        <f t="shared" si="40"/>
        <v>311</v>
      </c>
      <c r="B328" s="169">
        <f t="shared" si="36"/>
        <v>55488</v>
      </c>
      <c r="C328" s="170">
        <f t="shared" si="41"/>
        <v>0</v>
      </c>
      <c r="D328" s="170">
        <f t="shared" si="44"/>
        <v>2460.4526655071218</v>
      </c>
      <c r="E328" s="171">
        <f t="shared" si="37"/>
        <v>0</v>
      </c>
      <c r="F328" s="170">
        <f t="shared" si="38"/>
        <v>0</v>
      </c>
      <c r="G328" s="170">
        <f t="shared" si="42"/>
        <v>0</v>
      </c>
      <c r="H328" s="170">
        <f t="shared" si="43"/>
        <v>0</v>
      </c>
      <c r="I328" s="170">
        <f t="shared" si="39"/>
        <v>0</v>
      </c>
      <c r="J328" s="170">
        <f>SUM($H$18:$H328)</f>
        <v>45254.319860854652</v>
      </c>
    </row>
    <row r="329" spans="1:10" x14ac:dyDescent="0.3">
      <c r="A329" s="168">
        <f t="shared" si="40"/>
        <v>312</v>
      </c>
      <c r="B329" s="169">
        <f t="shared" si="36"/>
        <v>55519</v>
      </c>
      <c r="C329" s="170">
        <f t="shared" si="41"/>
        <v>0</v>
      </c>
      <c r="D329" s="170">
        <f t="shared" si="44"/>
        <v>2460.4526655071218</v>
      </c>
      <c r="E329" s="171">
        <f t="shared" si="37"/>
        <v>0</v>
      </c>
      <c r="F329" s="170">
        <f t="shared" si="38"/>
        <v>0</v>
      </c>
      <c r="G329" s="170">
        <f t="shared" si="42"/>
        <v>0</v>
      </c>
      <c r="H329" s="170">
        <f t="shared" si="43"/>
        <v>0</v>
      </c>
      <c r="I329" s="170">
        <f t="shared" si="39"/>
        <v>0</v>
      </c>
      <c r="J329" s="170">
        <f>SUM($H$18:$H329)</f>
        <v>45254.319860854652</v>
      </c>
    </row>
    <row r="330" spans="1:10" x14ac:dyDescent="0.3">
      <c r="A330" s="168">
        <f t="shared" si="40"/>
        <v>313</v>
      </c>
      <c r="B330" s="169">
        <f t="shared" si="36"/>
        <v>55550</v>
      </c>
      <c r="C330" s="170">
        <f t="shared" si="41"/>
        <v>0</v>
      </c>
      <c r="D330" s="170">
        <f t="shared" si="44"/>
        <v>2460.4526655071218</v>
      </c>
      <c r="E330" s="171">
        <f t="shared" si="37"/>
        <v>0</v>
      </c>
      <c r="F330" s="170">
        <f t="shared" si="38"/>
        <v>0</v>
      </c>
      <c r="G330" s="170">
        <f t="shared" si="42"/>
        <v>0</v>
      </c>
      <c r="H330" s="170">
        <f t="shared" si="43"/>
        <v>0</v>
      </c>
      <c r="I330" s="170">
        <f t="shared" si="39"/>
        <v>0</v>
      </c>
      <c r="J330" s="170">
        <f>SUM($H$18:$H330)</f>
        <v>45254.319860854652</v>
      </c>
    </row>
    <row r="331" spans="1:10" x14ac:dyDescent="0.3">
      <c r="A331" s="168">
        <f t="shared" si="40"/>
        <v>314</v>
      </c>
      <c r="B331" s="169">
        <f t="shared" si="36"/>
        <v>55579</v>
      </c>
      <c r="C331" s="170">
        <f t="shared" si="41"/>
        <v>0</v>
      </c>
      <c r="D331" s="170">
        <f t="shared" si="44"/>
        <v>2460.4526655071218</v>
      </c>
      <c r="E331" s="171">
        <f t="shared" si="37"/>
        <v>0</v>
      </c>
      <c r="F331" s="170">
        <f t="shared" si="38"/>
        <v>0</v>
      </c>
      <c r="G331" s="170">
        <f t="shared" si="42"/>
        <v>0</v>
      </c>
      <c r="H331" s="170">
        <f t="shared" si="43"/>
        <v>0</v>
      </c>
      <c r="I331" s="170">
        <f t="shared" si="39"/>
        <v>0</v>
      </c>
      <c r="J331" s="170">
        <f>SUM($H$18:$H331)</f>
        <v>45254.319860854652</v>
      </c>
    </row>
    <row r="332" spans="1:10" x14ac:dyDescent="0.3">
      <c r="A332" s="168">
        <f t="shared" si="40"/>
        <v>315</v>
      </c>
      <c r="B332" s="169">
        <f t="shared" si="36"/>
        <v>55610</v>
      </c>
      <c r="C332" s="170">
        <f t="shared" si="41"/>
        <v>0</v>
      </c>
      <c r="D332" s="170">
        <f t="shared" si="44"/>
        <v>2460.4526655071218</v>
      </c>
      <c r="E332" s="171">
        <f t="shared" si="37"/>
        <v>0</v>
      </c>
      <c r="F332" s="170">
        <f t="shared" si="38"/>
        <v>0</v>
      </c>
      <c r="G332" s="170">
        <f t="shared" si="42"/>
        <v>0</v>
      </c>
      <c r="H332" s="170">
        <f t="shared" si="43"/>
        <v>0</v>
      </c>
      <c r="I332" s="170">
        <f t="shared" si="39"/>
        <v>0</v>
      </c>
      <c r="J332" s="170">
        <f>SUM($H$18:$H332)</f>
        <v>45254.319860854652</v>
      </c>
    </row>
    <row r="333" spans="1:10" x14ac:dyDescent="0.3">
      <c r="A333" s="168">
        <f t="shared" si="40"/>
        <v>316</v>
      </c>
      <c r="B333" s="169">
        <f t="shared" si="36"/>
        <v>55640</v>
      </c>
      <c r="C333" s="170">
        <f t="shared" si="41"/>
        <v>0</v>
      </c>
      <c r="D333" s="170">
        <f t="shared" si="44"/>
        <v>2460.4526655071218</v>
      </c>
      <c r="E333" s="171">
        <f t="shared" si="37"/>
        <v>0</v>
      </c>
      <c r="F333" s="170">
        <f t="shared" si="38"/>
        <v>0</v>
      </c>
      <c r="G333" s="170">
        <f t="shared" si="42"/>
        <v>0</v>
      </c>
      <c r="H333" s="170">
        <f t="shared" si="43"/>
        <v>0</v>
      </c>
      <c r="I333" s="170">
        <f t="shared" si="39"/>
        <v>0</v>
      </c>
      <c r="J333" s="170">
        <f>SUM($H$18:$H333)</f>
        <v>45254.319860854652</v>
      </c>
    </row>
    <row r="334" spans="1:10" x14ac:dyDescent="0.3">
      <c r="A334" s="168">
        <f t="shared" si="40"/>
        <v>317</v>
      </c>
      <c r="B334" s="169">
        <f t="shared" si="36"/>
        <v>55671</v>
      </c>
      <c r="C334" s="170">
        <f t="shared" si="41"/>
        <v>0</v>
      </c>
      <c r="D334" s="170">
        <f t="shared" si="44"/>
        <v>2460.4526655071218</v>
      </c>
      <c r="E334" s="171">
        <f t="shared" si="37"/>
        <v>0</v>
      </c>
      <c r="F334" s="170">
        <f t="shared" si="38"/>
        <v>0</v>
      </c>
      <c r="G334" s="170">
        <f t="shared" si="42"/>
        <v>0</v>
      </c>
      <c r="H334" s="170">
        <f t="shared" si="43"/>
        <v>0</v>
      </c>
      <c r="I334" s="170">
        <f t="shared" si="39"/>
        <v>0</v>
      </c>
      <c r="J334" s="170">
        <f>SUM($H$18:$H334)</f>
        <v>45254.319860854652</v>
      </c>
    </row>
    <row r="335" spans="1:10" x14ac:dyDescent="0.3">
      <c r="A335" s="168">
        <f t="shared" si="40"/>
        <v>318</v>
      </c>
      <c r="B335" s="169">
        <f t="shared" si="36"/>
        <v>55701</v>
      </c>
      <c r="C335" s="170">
        <f t="shared" si="41"/>
        <v>0</v>
      </c>
      <c r="D335" s="170">
        <f t="shared" si="44"/>
        <v>2460.4526655071218</v>
      </c>
      <c r="E335" s="171">
        <f t="shared" si="37"/>
        <v>0</v>
      </c>
      <c r="F335" s="170">
        <f t="shared" si="38"/>
        <v>0</v>
      </c>
      <c r="G335" s="170">
        <f t="shared" si="42"/>
        <v>0</v>
      </c>
      <c r="H335" s="170">
        <f t="shared" si="43"/>
        <v>0</v>
      </c>
      <c r="I335" s="170">
        <f t="shared" si="39"/>
        <v>0</v>
      </c>
      <c r="J335" s="170">
        <f>SUM($H$18:$H335)</f>
        <v>45254.319860854652</v>
      </c>
    </row>
    <row r="336" spans="1:10" x14ac:dyDescent="0.3">
      <c r="A336" s="168">
        <f t="shared" si="40"/>
        <v>319</v>
      </c>
      <c r="B336" s="169">
        <f t="shared" si="36"/>
        <v>55732</v>
      </c>
      <c r="C336" s="170">
        <f t="shared" si="41"/>
        <v>0</v>
      </c>
      <c r="D336" s="170">
        <f t="shared" si="44"/>
        <v>2460.4526655071218</v>
      </c>
      <c r="E336" s="171">
        <f t="shared" si="37"/>
        <v>0</v>
      </c>
      <c r="F336" s="170">
        <f t="shared" si="38"/>
        <v>0</v>
      </c>
      <c r="G336" s="170">
        <f t="shared" si="42"/>
        <v>0</v>
      </c>
      <c r="H336" s="170">
        <f t="shared" si="43"/>
        <v>0</v>
      </c>
      <c r="I336" s="170">
        <f t="shared" si="39"/>
        <v>0</v>
      </c>
      <c r="J336" s="170">
        <f>SUM($H$18:$H336)</f>
        <v>45254.319860854652</v>
      </c>
    </row>
    <row r="337" spans="1:10" x14ac:dyDescent="0.3">
      <c r="A337" s="168">
        <f t="shared" si="40"/>
        <v>320</v>
      </c>
      <c r="B337" s="169">
        <f t="shared" si="36"/>
        <v>55763</v>
      </c>
      <c r="C337" s="170">
        <f t="shared" si="41"/>
        <v>0</v>
      </c>
      <c r="D337" s="170">
        <f t="shared" si="44"/>
        <v>2460.4526655071218</v>
      </c>
      <c r="E337" s="171">
        <f t="shared" si="37"/>
        <v>0</v>
      </c>
      <c r="F337" s="170">
        <f t="shared" si="38"/>
        <v>0</v>
      </c>
      <c r="G337" s="170">
        <f t="shared" si="42"/>
        <v>0</v>
      </c>
      <c r="H337" s="170">
        <f t="shared" si="43"/>
        <v>0</v>
      </c>
      <c r="I337" s="170">
        <f t="shared" si="39"/>
        <v>0</v>
      </c>
      <c r="J337" s="170">
        <f>SUM($H$18:$H337)</f>
        <v>45254.319860854652</v>
      </c>
    </row>
    <row r="338" spans="1:10" x14ac:dyDescent="0.3">
      <c r="A338" s="168">
        <f t="shared" si="40"/>
        <v>321</v>
      </c>
      <c r="B338" s="169">
        <f t="shared" ref="B338:B401" si="45">IF(Nbre_Pmt&lt;&gt;"",DATE(YEAR(Début_Prêt),MONTH(Début_Prêt)+(Nbre_Pmt)*12/Nbre_Pmt_Par_An,DAY(Début_Prêt)),"")</f>
        <v>55793</v>
      </c>
      <c r="C338" s="170">
        <f t="shared" si="41"/>
        <v>0</v>
      </c>
      <c r="D338" s="170">
        <f t="shared" si="44"/>
        <v>2460.4526655071218</v>
      </c>
      <c r="E338" s="171">
        <f t="shared" ref="E338:E401" si="46">IF(AND(Nbre_Pmt&lt;&gt;"",Pmt_Programmé+Pmts_Supplémentaires_Programmés&lt;Solde_Départ),Pmts_Supplémentaires_Programmés,IF(AND(Nbre_Pmt&lt;&gt;"",Solde_Départ-Pmt_Programmé&gt;0),Solde_Départ-Pmt_Programmé,IF(Nbre_Pmt&lt;&gt;"",0,"")))</f>
        <v>0</v>
      </c>
      <c r="F338" s="170">
        <f t="shared" ref="F338:F401" si="47">IF(AND(Nbre_Pmt&lt;&gt;"",Pmt_Programmé+Pmt_Supplémentaire&lt;Solde_Départ),Pmt_Programmé+Pmt_Supplémentaire,IF(Nbre_Pmt&lt;&gt;"",Solde_Départ,""))</f>
        <v>0</v>
      </c>
      <c r="G338" s="170">
        <f t="shared" si="42"/>
        <v>0</v>
      </c>
      <c r="H338" s="170">
        <f t="shared" si="43"/>
        <v>0</v>
      </c>
      <c r="I338" s="170">
        <f t="shared" ref="I338:I401" si="48">IF(AND(Nbre_Pmt&lt;&gt;"",Pmt_Programmé+Pmt_Supplémentaire&lt;Solde_Départ),Solde_Départ-Princ,IF(Nbre_Pmt&lt;&gt;"",0,""))</f>
        <v>0</v>
      </c>
      <c r="J338" s="170">
        <f>SUM($H$18:$H338)</f>
        <v>45254.319860854652</v>
      </c>
    </row>
    <row r="339" spans="1:10" x14ac:dyDescent="0.3">
      <c r="A339" s="168">
        <f t="shared" ref="A339:A402" si="49">IF(Valeurs_Entrées,A338+1,"")</f>
        <v>322</v>
      </c>
      <c r="B339" s="169">
        <f t="shared" si="45"/>
        <v>55824</v>
      </c>
      <c r="C339" s="170">
        <f t="shared" ref="C339:C376" si="50">IF(Nbre_Pmt&lt;&gt;"",I338,"")</f>
        <v>0</v>
      </c>
      <c r="D339" s="170">
        <f t="shared" si="44"/>
        <v>2460.4526655071218</v>
      </c>
      <c r="E339" s="171">
        <f t="shared" si="46"/>
        <v>0</v>
      </c>
      <c r="F339" s="170">
        <f t="shared" si="47"/>
        <v>0</v>
      </c>
      <c r="G339" s="170">
        <f t="shared" ref="G339:G402" si="51">IF(Nbre_Pmt&lt;&gt;"",Pmt_Total-Ent,"")</f>
        <v>0</v>
      </c>
      <c r="H339" s="170">
        <f t="shared" ref="H339:H402" si="52">IF(Nbre_Pmt&lt;&gt;"",Solde_Départ*Taux_Intérêt/Nbre_Pmt_Par_An,"")</f>
        <v>0</v>
      </c>
      <c r="I339" s="170">
        <f t="shared" si="48"/>
        <v>0</v>
      </c>
      <c r="J339" s="170">
        <f>SUM($H$18:$H339)</f>
        <v>45254.319860854652</v>
      </c>
    </row>
    <row r="340" spans="1:10" x14ac:dyDescent="0.3">
      <c r="A340" s="168">
        <f t="shared" si="49"/>
        <v>323</v>
      </c>
      <c r="B340" s="169">
        <f t="shared" si="45"/>
        <v>55854</v>
      </c>
      <c r="C340" s="170">
        <f t="shared" si="50"/>
        <v>0</v>
      </c>
      <c r="D340" s="170">
        <f t="shared" ref="D340:D403" si="53">IF(Nbre_Pmt&lt;&gt;"",Pmt_Mensuel_Programmé,"")</f>
        <v>2460.4526655071218</v>
      </c>
      <c r="E340" s="171">
        <f t="shared" si="46"/>
        <v>0</v>
      </c>
      <c r="F340" s="170">
        <f t="shared" si="47"/>
        <v>0</v>
      </c>
      <c r="G340" s="170">
        <f t="shared" si="51"/>
        <v>0</v>
      </c>
      <c r="H340" s="170">
        <f t="shared" si="52"/>
        <v>0</v>
      </c>
      <c r="I340" s="170">
        <f t="shared" si="48"/>
        <v>0</v>
      </c>
      <c r="J340" s="170">
        <f>SUM($H$18:$H340)</f>
        <v>45254.319860854652</v>
      </c>
    </row>
    <row r="341" spans="1:10" x14ac:dyDescent="0.3">
      <c r="A341" s="168">
        <f t="shared" si="49"/>
        <v>324</v>
      </c>
      <c r="B341" s="169">
        <f t="shared" si="45"/>
        <v>55885</v>
      </c>
      <c r="C341" s="170">
        <f t="shared" si="50"/>
        <v>0</v>
      </c>
      <c r="D341" s="170">
        <f t="shared" si="53"/>
        <v>2460.4526655071218</v>
      </c>
      <c r="E341" s="171">
        <f t="shared" si="46"/>
        <v>0</v>
      </c>
      <c r="F341" s="170">
        <f t="shared" si="47"/>
        <v>0</v>
      </c>
      <c r="G341" s="170">
        <f t="shared" si="51"/>
        <v>0</v>
      </c>
      <c r="H341" s="170">
        <f t="shared" si="52"/>
        <v>0</v>
      </c>
      <c r="I341" s="170">
        <f t="shared" si="48"/>
        <v>0</v>
      </c>
      <c r="J341" s="170">
        <f>SUM($H$18:$H341)</f>
        <v>45254.319860854652</v>
      </c>
    </row>
    <row r="342" spans="1:10" x14ac:dyDescent="0.3">
      <c r="A342" s="168">
        <f t="shared" si="49"/>
        <v>325</v>
      </c>
      <c r="B342" s="169">
        <f t="shared" si="45"/>
        <v>55916</v>
      </c>
      <c r="C342" s="170">
        <f t="shared" si="50"/>
        <v>0</v>
      </c>
      <c r="D342" s="170">
        <f t="shared" si="53"/>
        <v>2460.4526655071218</v>
      </c>
      <c r="E342" s="171">
        <f t="shared" si="46"/>
        <v>0</v>
      </c>
      <c r="F342" s="170">
        <f t="shared" si="47"/>
        <v>0</v>
      </c>
      <c r="G342" s="170">
        <f t="shared" si="51"/>
        <v>0</v>
      </c>
      <c r="H342" s="170">
        <f t="shared" si="52"/>
        <v>0</v>
      </c>
      <c r="I342" s="170">
        <f t="shared" si="48"/>
        <v>0</v>
      </c>
      <c r="J342" s="170">
        <f>SUM($H$18:$H342)</f>
        <v>45254.319860854652</v>
      </c>
    </row>
    <row r="343" spans="1:10" x14ac:dyDescent="0.3">
      <c r="A343" s="168">
        <f t="shared" si="49"/>
        <v>326</v>
      </c>
      <c r="B343" s="169">
        <f t="shared" si="45"/>
        <v>55944</v>
      </c>
      <c r="C343" s="170">
        <f t="shared" si="50"/>
        <v>0</v>
      </c>
      <c r="D343" s="170">
        <f t="shared" si="53"/>
        <v>2460.4526655071218</v>
      </c>
      <c r="E343" s="171">
        <f t="shared" si="46"/>
        <v>0</v>
      </c>
      <c r="F343" s="170">
        <f t="shared" si="47"/>
        <v>0</v>
      </c>
      <c r="G343" s="170">
        <f t="shared" si="51"/>
        <v>0</v>
      </c>
      <c r="H343" s="170">
        <f t="shared" si="52"/>
        <v>0</v>
      </c>
      <c r="I343" s="170">
        <f t="shared" si="48"/>
        <v>0</v>
      </c>
      <c r="J343" s="170">
        <f>SUM($H$18:$H343)</f>
        <v>45254.319860854652</v>
      </c>
    </row>
    <row r="344" spans="1:10" x14ac:dyDescent="0.3">
      <c r="A344" s="168">
        <f t="shared" si="49"/>
        <v>327</v>
      </c>
      <c r="B344" s="169">
        <f t="shared" si="45"/>
        <v>55975</v>
      </c>
      <c r="C344" s="170">
        <f t="shared" si="50"/>
        <v>0</v>
      </c>
      <c r="D344" s="170">
        <f t="shared" si="53"/>
        <v>2460.4526655071218</v>
      </c>
      <c r="E344" s="171">
        <f t="shared" si="46"/>
        <v>0</v>
      </c>
      <c r="F344" s="170">
        <f t="shared" si="47"/>
        <v>0</v>
      </c>
      <c r="G344" s="170">
        <f t="shared" si="51"/>
        <v>0</v>
      </c>
      <c r="H344" s="170">
        <f t="shared" si="52"/>
        <v>0</v>
      </c>
      <c r="I344" s="170">
        <f t="shared" si="48"/>
        <v>0</v>
      </c>
      <c r="J344" s="170">
        <f>SUM($H$18:$H344)</f>
        <v>45254.319860854652</v>
      </c>
    </row>
    <row r="345" spans="1:10" x14ac:dyDescent="0.3">
      <c r="A345" s="168">
        <f t="shared" si="49"/>
        <v>328</v>
      </c>
      <c r="B345" s="169">
        <f t="shared" si="45"/>
        <v>56005</v>
      </c>
      <c r="C345" s="170">
        <f t="shared" si="50"/>
        <v>0</v>
      </c>
      <c r="D345" s="170">
        <f t="shared" si="53"/>
        <v>2460.4526655071218</v>
      </c>
      <c r="E345" s="171">
        <f t="shared" si="46"/>
        <v>0</v>
      </c>
      <c r="F345" s="170">
        <f t="shared" si="47"/>
        <v>0</v>
      </c>
      <c r="G345" s="170">
        <f t="shared" si="51"/>
        <v>0</v>
      </c>
      <c r="H345" s="170">
        <f t="shared" si="52"/>
        <v>0</v>
      </c>
      <c r="I345" s="170">
        <f t="shared" si="48"/>
        <v>0</v>
      </c>
      <c r="J345" s="170">
        <f>SUM($H$18:$H345)</f>
        <v>45254.319860854652</v>
      </c>
    </row>
    <row r="346" spans="1:10" x14ac:dyDescent="0.3">
      <c r="A346" s="168">
        <f t="shared" si="49"/>
        <v>329</v>
      </c>
      <c r="B346" s="169">
        <f t="shared" si="45"/>
        <v>56036</v>
      </c>
      <c r="C346" s="170">
        <f t="shared" si="50"/>
        <v>0</v>
      </c>
      <c r="D346" s="170">
        <f t="shared" si="53"/>
        <v>2460.4526655071218</v>
      </c>
      <c r="E346" s="171">
        <f t="shared" si="46"/>
        <v>0</v>
      </c>
      <c r="F346" s="170">
        <f t="shared" si="47"/>
        <v>0</v>
      </c>
      <c r="G346" s="170">
        <f t="shared" si="51"/>
        <v>0</v>
      </c>
      <c r="H346" s="170">
        <f t="shared" si="52"/>
        <v>0</v>
      </c>
      <c r="I346" s="170">
        <f t="shared" si="48"/>
        <v>0</v>
      </c>
      <c r="J346" s="170">
        <f>SUM($H$18:$H346)</f>
        <v>45254.319860854652</v>
      </c>
    </row>
    <row r="347" spans="1:10" x14ac:dyDescent="0.3">
      <c r="A347" s="168">
        <f t="shared" si="49"/>
        <v>330</v>
      </c>
      <c r="B347" s="169">
        <f t="shared" si="45"/>
        <v>56066</v>
      </c>
      <c r="C347" s="170">
        <f t="shared" si="50"/>
        <v>0</v>
      </c>
      <c r="D347" s="170">
        <f t="shared" si="53"/>
        <v>2460.4526655071218</v>
      </c>
      <c r="E347" s="171">
        <f t="shared" si="46"/>
        <v>0</v>
      </c>
      <c r="F347" s="170">
        <f t="shared" si="47"/>
        <v>0</v>
      </c>
      <c r="G347" s="170">
        <f t="shared" si="51"/>
        <v>0</v>
      </c>
      <c r="H347" s="170">
        <f t="shared" si="52"/>
        <v>0</v>
      </c>
      <c r="I347" s="170">
        <f t="shared" si="48"/>
        <v>0</v>
      </c>
      <c r="J347" s="170">
        <f>SUM($H$18:$H347)</f>
        <v>45254.319860854652</v>
      </c>
    </row>
    <row r="348" spans="1:10" x14ac:dyDescent="0.3">
      <c r="A348" s="168">
        <f t="shared" si="49"/>
        <v>331</v>
      </c>
      <c r="B348" s="169">
        <f t="shared" si="45"/>
        <v>56097</v>
      </c>
      <c r="C348" s="170">
        <f t="shared" si="50"/>
        <v>0</v>
      </c>
      <c r="D348" s="170">
        <f t="shared" si="53"/>
        <v>2460.4526655071218</v>
      </c>
      <c r="E348" s="171">
        <f t="shared" si="46"/>
        <v>0</v>
      </c>
      <c r="F348" s="170">
        <f t="shared" si="47"/>
        <v>0</v>
      </c>
      <c r="G348" s="170">
        <f t="shared" si="51"/>
        <v>0</v>
      </c>
      <c r="H348" s="170">
        <f t="shared" si="52"/>
        <v>0</v>
      </c>
      <c r="I348" s="170">
        <f t="shared" si="48"/>
        <v>0</v>
      </c>
      <c r="J348" s="170">
        <f>SUM($H$18:$H348)</f>
        <v>45254.319860854652</v>
      </c>
    </row>
    <row r="349" spans="1:10" x14ac:dyDescent="0.3">
      <c r="A349" s="168">
        <f t="shared" si="49"/>
        <v>332</v>
      </c>
      <c r="B349" s="169">
        <f t="shared" si="45"/>
        <v>56128</v>
      </c>
      <c r="C349" s="170">
        <f t="shared" si="50"/>
        <v>0</v>
      </c>
      <c r="D349" s="170">
        <f t="shared" si="53"/>
        <v>2460.4526655071218</v>
      </c>
      <c r="E349" s="171">
        <f t="shared" si="46"/>
        <v>0</v>
      </c>
      <c r="F349" s="170">
        <f t="shared" si="47"/>
        <v>0</v>
      </c>
      <c r="G349" s="170">
        <f t="shared" si="51"/>
        <v>0</v>
      </c>
      <c r="H349" s="170">
        <f t="shared" si="52"/>
        <v>0</v>
      </c>
      <c r="I349" s="170">
        <f t="shared" si="48"/>
        <v>0</v>
      </c>
      <c r="J349" s="170">
        <f>SUM($H$18:$H349)</f>
        <v>45254.319860854652</v>
      </c>
    </row>
    <row r="350" spans="1:10" x14ac:dyDescent="0.3">
      <c r="A350" s="168">
        <f t="shared" si="49"/>
        <v>333</v>
      </c>
      <c r="B350" s="169">
        <f t="shared" si="45"/>
        <v>56158</v>
      </c>
      <c r="C350" s="170">
        <f t="shared" si="50"/>
        <v>0</v>
      </c>
      <c r="D350" s="170">
        <f t="shared" si="53"/>
        <v>2460.4526655071218</v>
      </c>
      <c r="E350" s="171">
        <f t="shared" si="46"/>
        <v>0</v>
      </c>
      <c r="F350" s="170">
        <f t="shared" si="47"/>
        <v>0</v>
      </c>
      <c r="G350" s="170">
        <f t="shared" si="51"/>
        <v>0</v>
      </c>
      <c r="H350" s="170">
        <f t="shared" si="52"/>
        <v>0</v>
      </c>
      <c r="I350" s="170">
        <f t="shared" si="48"/>
        <v>0</v>
      </c>
      <c r="J350" s="170">
        <f>SUM($H$18:$H350)</f>
        <v>45254.319860854652</v>
      </c>
    </row>
    <row r="351" spans="1:10" x14ac:dyDescent="0.3">
      <c r="A351" s="168">
        <f t="shared" si="49"/>
        <v>334</v>
      </c>
      <c r="B351" s="169">
        <f t="shared" si="45"/>
        <v>56189</v>
      </c>
      <c r="C351" s="170">
        <f t="shared" si="50"/>
        <v>0</v>
      </c>
      <c r="D351" s="170">
        <f t="shared" si="53"/>
        <v>2460.4526655071218</v>
      </c>
      <c r="E351" s="171">
        <f t="shared" si="46"/>
        <v>0</v>
      </c>
      <c r="F351" s="170">
        <f t="shared" si="47"/>
        <v>0</v>
      </c>
      <c r="G351" s="170">
        <f t="shared" si="51"/>
        <v>0</v>
      </c>
      <c r="H351" s="170">
        <f t="shared" si="52"/>
        <v>0</v>
      </c>
      <c r="I351" s="170">
        <f t="shared" si="48"/>
        <v>0</v>
      </c>
      <c r="J351" s="170">
        <f>SUM($H$18:$H351)</f>
        <v>45254.319860854652</v>
      </c>
    </row>
    <row r="352" spans="1:10" x14ac:dyDescent="0.3">
      <c r="A352" s="168">
        <f t="shared" si="49"/>
        <v>335</v>
      </c>
      <c r="B352" s="169">
        <f t="shared" si="45"/>
        <v>56219</v>
      </c>
      <c r="C352" s="170">
        <f t="shared" si="50"/>
        <v>0</v>
      </c>
      <c r="D352" s="170">
        <f t="shared" si="53"/>
        <v>2460.4526655071218</v>
      </c>
      <c r="E352" s="171">
        <f t="shared" si="46"/>
        <v>0</v>
      </c>
      <c r="F352" s="170">
        <f t="shared" si="47"/>
        <v>0</v>
      </c>
      <c r="G352" s="170">
        <f t="shared" si="51"/>
        <v>0</v>
      </c>
      <c r="H352" s="170">
        <f t="shared" si="52"/>
        <v>0</v>
      </c>
      <c r="I352" s="170">
        <f t="shared" si="48"/>
        <v>0</v>
      </c>
      <c r="J352" s="170">
        <f>SUM($H$18:$H352)</f>
        <v>45254.319860854652</v>
      </c>
    </row>
    <row r="353" spans="1:10" x14ac:dyDescent="0.3">
      <c r="A353" s="168">
        <f t="shared" si="49"/>
        <v>336</v>
      </c>
      <c r="B353" s="169">
        <f t="shared" si="45"/>
        <v>56250</v>
      </c>
      <c r="C353" s="170">
        <f t="shared" si="50"/>
        <v>0</v>
      </c>
      <c r="D353" s="170">
        <f t="shared" si="53"/>
        <v>2460.4526655071218</v>
      </c>
      <c r="E353" s="171">
        <f t="shared" si="46"/>
        <v>0</v>
      </c>
      <c r="F353" s="170">
        <f t="shared" si="47"/>
        <v>0</v>
      </c>
      <c r="G353" s="170">
        <f t="shared" si="51"/>
        <v>0</v>
      </c>
      <c r="H353" s="170">
        <f t="shared" si="52"/>
        <v>0</v>
      </c>
      <c r="I353" s="170">
        <f t="shared" si="48"/>
        <v>0</v>
      </c>
      <c r="J353" s="170">
        <f>SUM($H$18:$H353)</f>
        <v>45254.319860854652</v>
      </c>
    </row>
    <row r="354" spans="1:10" x14ac:dyDescent="0.3">
      <c r="A354" s="168">
        <f t="shared" si="49"/>
        <v>337</v>
      </c>
      <c r="B354" s="169">
        <f t="shared" si="45"/>
        <v>56281</v>
      </c>
      <c r="C354" s="170">
        <f t="shared" si="50"/>
        <v>0</v>
      </c>
      <c r="D354" s="170">
        <f t="shared" si="53"/>
        <v>2460.4526655071218</v>
      </c>
      <c r="E354" s="171">
        <f t="shared" si="46"/>
        <v>0</v>
      </c>
      <c r="F354" s="170">
        <f t="shared" si="47"/>
        <v>0</v>
      </c>
      <c r="G354" s="170">
        <f t="shared" si="51"/>
        <v>0</v>
      </c>
      <c r="H354" s="170">
        <f t="shared" si="52"/>
        <v>0</v>
      </c>
      <c r="I354" s="170">
        <f t="shared" si="48"/>
        <v>0</v>
      </c>
      <c r="J354" s="170">
        <f>SUM($H$18:$H354)</f>
        <v>45254.319860854652</v>
      </c>
    </row>
    <row r="355" spans="1:10" x14ac:dyDescent="0.3">
      <c r="A355" s="168">
        <f t="shared" si="49"/>
        <v>338</v>
      </c>
      <c r="B355" s="169">
        <f t="shared" si="45"/>
        <v>56309</v>
      </c>
      <c r="C355" s="170">
        <f t="shared" si="50"/>
        <v>0</v>
      </c>
      <c r="D355" s="170">
        <f t="shared" si="53"/>
        <v>2460.4526655071218</v>
      </c>
      <c r="E355" s="171">
        <f t="shared" si="46"/>
        <v>0</v>
      </c>
      <c r="F355" s="170">
        <f t="shared" si="47"/>
        <v>0</v>
      </c>
      <c r="G355" s="170">
        <f t="shared" si="51"/>
        <v>0</v>
      </c>
      <c r="H355" s="170">
        <f t="shared" si="52"/>
        <v>0</v>
      </c>
      <c r="I355" s="170">
        <f t="shared" si="48"/>
        <v>0</v>
      </c>
      <c r="J355" s="170">
        <f>SUM($H$18:$H355)</f>
        <v>45254.319860854652</v>
      </c>
    </row>
    <row r="356" spans="1:10" x14ac:dyDescent="0.3">
      <c r="A356" s="168">
        <f t="shared" si="49"/>
        <v>339</v>
      </c>
      <c r="B356" s="169">
        <f t="shared" si="45"/>
        <v>56340</v>
      </c>
      <c r="C356" s="170">
        <f t="shared" si="50"/>
        <v>0</v>
      </c>
      <c r="D356" s="170">
        <f t="shared" si="53"/>
        <v>2460.4526655071218</v>
      </c>
      <c r="E356" s="171">
        <f t="shared" si="46"/>
        <v>0</v>
      </c>
      <c r="F356" s="170">
        <f t="shared" si="47"/>
        <v>0</v>
      </c>
      <c r="G356" s="170">
        <f t="shared" si="51"/>
        <v>0</v>
      </c>
      <c r="H356" s="170">
        <f t="shared" si="52"/>
        <v>0</v>
      </c>
      <c r="I356" s="170">
        <f t="shared" si="48"/>
        <v>0</v>
      </c>
      <c r="J356" s="170">
        <f>SUM($H$18:$H356)</f>
        <v>45254.319860854652</v>
      </c>
    </row>
    <row r="357" spans="1:10" x14ac:dyDescent="0.3">
      <c r="A357" s="168">
        <f t="shared" si="49"/>
        <v>340</v>
      </c>
      <c r="B357" s="169">
        <f t="shared" si="45"/>
        <v>56370</v>
      </c>
      <c r="C357" s="170">
        <f t="shared" si="50"/>
        <v>0</v>
      </c>
      <c r="D357" s="170">
        <f t="shared" si="53"/>
        <v>2460.4526655071218</v>
      </c>
      <c r="E357" s="171">
        <f t="shared" si="46"/>
        <v>0</v>
      </c>
      <c r="F357" s="170">
        <f t="shared" si="47"/>
        <v>0</v>
      </c>
      <c r="G357" s="170">
        <f t="shared" si="51"/>
        <v>0</v>
      </c>
      <c r="H357" s="170">
        <f t="shared" si="52"/>
        <v>0</v>
      </c>
      <c r="I357" s="170">
        <f t="shared" si="48"/>
        <v>0</v>
      </c>
      <c r="J357" s="170">
        <f>SUM($H$18:$H357)</f>
        <v>45254.319860854652</v>
      </c>
    </row>
    <row r="358" spans="1:10" x14ac:dyDescent="0.3">
      <c r="A358" s="168">
        <f t="shared" si="49"/>
        <v>341</v>
      </c>
      <c r="B358" s="169">
        <f t="shared" si="45"/>
        <v>56401</v>
      </c>
      <c r="C358" s="170">
        <f t="shared" si="50"/>
        <v>0</v>
      </c>
      <c r="D358" s="170">
        <f t="shared" si="53"/>
        <v>2460.4526655071218</v>
      </c>
      <c r="E358" s="171">
        <f t="shared" si="46"/>
        <v>0</v>
      </c>
      <c r="F358" s="170">
        <f t="shared" si="47"/>
        <v>0</v>
      </c>
      <c r="G358" s="170">
        <f t="shared" si="51"/>
        <v>0</v>
      </c>
      <c r="H358" s="170">
        <f t="shared" si="52"/>
        <v>0</v>
      </c>
      <c r="I358" s="170">
        <f t="shared" si="48"/>
        <v>0</v>
      </c>
      <c r="J358" s="170">
        <f>SUM($H$18:$H358)</f>
        <v>45254.319860854652</v>
      </c>
    </row>
    <row r="359" spans="1:10" x14ac:dyDescent="0.3">
      <c r="A359" s="168">
        <f t="shared" si="49"/>
        <v>342</v>
      </c>
      <c r="B359" s="169">
        <f t="shared" si="45"/>
        <v>56431</v>
      </c>
      <c r="C359" s="170">
        <f t="shared" si="50"/>
        <v>0</v>
      </c>
      <c r="D359" s="170">
        <f t="shared" si="53"/>
        <v>2460.4526655071218</v>
      </c>
      <c r="E359" s="171">
        <f t="shared" si="46"/>
        <v>0</v>
      </c>
      <c r="F359" s="170">
        <f t="shared" si="47"/>
        <v>0</v>
      </c>
      <c r="G359" s="170">
        <f t="shared" si="51"/>
        <v>0</v>
      </c>
      <c r="H359" s="170">
        <f t="shared" si="52"/>
        <v>0</v>
      </c>
      <c r="I359" s="170">
        <f t="shared" si="48"/>
        <v>0</v>
      </c>
      <c r="J359" s="170">
        <f>SUM($H$18:$H359)</f>
        <v>45254.319860854652</v>
      </c>
    </row>
    <row r="360" spans="1:10" x14ac:dyDescent="0.3">
      <c r="A360" s="168">
        <f t="shared" si="49"/>
        <v>343</v>
      </c>
      <c r="B360" s="169">
        <f t="shared" si="45"/>
        <v>56462</v>
      </c>
      <c r="C360" s="170">
        <f t="shared" si="50"/>
        <v>0</v>
      </c>
      <c r="D360" s="170">
        <f t="shared" si="53"/>
        <v>2460.4526655071218</v>
      </c>
      <c r="E360" s="171">
        <f t="shared" si="46"/>
        <v>0</v>
      </c>
      <c r="F360" s="170">
        <f t="shared" si="47"/>
        <v>0</v>
      </c>
      <c r="G360" s="170">
        <f t="shared" si="51"/>
        <v>0</v>
      </c>
      <c r="H360" s="170">
        <f t="shared" si="52"/>
        <v>0</v>
      </c>
      <c r="I360" s="170">
        <f t="shared" si="48"/>
        <v>0</v>
      </c>
      <c r="J360" s="170">
        <f>SUM($H$18:$H360)</f>
        <v>45254.319860854652</v>
      </c>
    </row>
    <row r="361" spans="1:10" x14ac:dyDescent="0.3">
      <c r="A361" s="168">
        <f t="shared" si="49"/>
        <v>344</v>
      </c>
      <c r="B361" s="169">
        <f t="shared" si="45"/>
        <v>56493</v>
      </c>
      <c r="C361" s="170">
        <f t="shared" si="50"/>
        <v>0</v>
      </c>
      <c r="D361" s="170">
        <f t="shared" si="53"/>
        <v>2460.4526655071218</v>
      </c>
      <c r="E361" s="171">
        <f t="shared" si="46"/>
        <v>0</v>
      </c>
      <c r="F361" s="170">
        <f t="shared" si="47"/>
        <v>0</v>
      </c>
      <c r="G361" s="170">
        <f t="shared" si="51"/>
        <v>0</v>
      </c>
      <c r="H361" s="170">
        <f t="shared" si="52"/>
        <v>0</v>
      </c>
      <c r="I361" s="170">
        <f t="shared" si="48"/>
        <v>0</v>
      </c>
      <c r="J361" s="170">
        <f>SUM($H$18:$H361)</f>
        <v>45254.319860854652</v>
      </c>
    </row>
    <row r="362" spans="1:10" x14ac:dyDescent="0.3">
      <c r="A362" s="168">
        <f t="shared" si="49"/>
        <v>345</v>
      </c>
      <c r="B362" s="169">
        <f t="shared" si="45"/>
        <v>56523</v>
      </c>
      <c r="C362" s="170">
        <f t="shared" si="50"/>
        <v>0</v>
      </c>
      <c r="D362" s="170">
        <f t="shared" si="53"/>
        <v>2460.4526655071218</v>
      </c>
      <c r="E362" s="171">
        <f t="shared" si="46"/>
        <v>0</v>
      </c>
      <c r="F362" s="170">
        <f t="shared" si="47"/>
        <v>0</v>
      </c>
      <c r="G362" s="170">
        <f t="shared" si="51"/>
        <v>0</v>
      </c>
      <c r="H362" s="170">
        <f t="shared" si="52"/>
        <v>0</v>
      </c>
      <c r="I362" s="170">
        <f t="shared" si="48"/>
        <v>0</v>
      </c>
      <c r="J362" s="170">
        <f>SUM($H$18:$H362)</f>
        <v>45254.319860854652</v>
      </c>
    </row>
    <row r="363" spans="1:10" x14ac:dyDescent="0.3">
      <c r="A363" s="168">
        <f t="shared" si="49"/>
        <v>346</v>
      </c>
      <c r="B363" s="169">
        <f t="shared" si="45"/>
        <v>56554</v>
      </c>
      <c r="C363" s="170">
        <f t="shared" si="50"/>
        <v>0</v>
      </c>
      <c r="D363" s="170">
        <f t="shared" si="53"/>
        <v>2460.4526655071218</v>
      </c>
      <c r="E363" s="171">
        <f t="shared" si="46"/>
        <v>0</v>
      </c>
      <c r="F363" s="170">
        <f t="shared" si="47"/>
        <v>0</v>
      </c>
      <c r="G363" s="170">
        <f t="shared" si="51"/>
        <v>0</v>
      </c>
      <c r="H363" s="170">
        <f t="shared" si="52"/>
        <v>0</v>
      </c>
      <c r="I363" s="170">
        <f t="shared" si="48"/>
        <v>0</v>
      </c>
      <c r="J363" s="170">
        <f>SUM($H$18:$H363)</f>
        <v>45254.319860854652</v>
      </c>
    </row>
    <row r="364" spans="1:10" x14ac:dyDescent="0.3">
      <c r="A364" s="168">
        <f t="shared" si="49"/>
        <v>347</v>
      </c>
      <c r="B364" s="169">
        <f t="shared" si="45"/>
        <v>56584</v>
      </c>
      <c r="C364" s="170">
        <f t="shared" si="50"/>
        <v>0</v>
      </c>
      <c r="D364" s="170">
        <f t="shared" si="53"/>
        <v>2460.4526655071218</v>
      </c>
      <c r="E364" s="171">
        <f t="shared" si="46"/>
        <v>0</v>
      </c>
      <c r="F364" s="170">
        <f t="shared" si="47"/>
        <v>0</v>
      </c>
      <c r="G364" s="170">
        <f t="shared" si="51"/>
        <v>0</v>
      </c>
      <c r="H364" s="170">
        <f t="shared" si="52"/>
        <v>0</v>
      </c>
      <c r="I364" s="170">
        <f t="shared" si="48"/>
        <v>0</v>
      </c>
      <c r="J364" s="170">
        <f>SUM($H$18:$H364)</f>
        <v>45254.319860854652</v>
      </c>
    </row>
    <row r="365" spans="1:10" x14ac:dyDescent="0.3">
      <c r="A365" s="168">
        <f t="shared" si="49"/>
        <v>348</v>
      </c>
      <c r="B365" s="169">
        <f t="shared" si="45"/>
        <v>56615</v>
      </c>
      <c r="C365" s="170">
        <f t="shared" si="50"/>
        <v>0</v>
      </c>
      <c r="D365" s="170">
        <f t="shared" si="53"/>
        <v>2460.4526655071218</v>
      </c>
      <c r="E365" s="171">
        <f t="shared" si="46"/>
        <v>0</v>
      </c>
      <c r="F365" s="170">
        <f t="shared" si="47"/>
        <v>0</v>
      </c>
      <c r="G365" s="170">
        <f t="shared" si="51"/>
        <v>0</v>
      </c>
      <c r="H365" s="170">
        <f t="shared" si="52"/>
        <v>0</v>
      </c>
      <c r="I365" s="170">
        <f t="shared" si="48"/>
        <v>0</v>
      </c>
      <c r="J365" s="170">
        <f>SUM($H$18:$H365)</f>
        <v>45254.319860854652</v>
      </c>
    </row>
    <row r="366" spans="1:10" x14ac:dyDescent="0.3">
      <c r="A366" s="168">
        <f t="shared" si="49"/>
        <v>349</v>
      </c>
      <c r="B366" s="169">
        <f t="shared" si="45"/>
        <v>56646</v>
      </c>
      <c r="C366" s="170">
        <f t="shared" si="50"/>
        <v>0</v>
      </c>
      <c r="D366" s="170">
        <f t="shared" si="53"/>
        <v>2460.4526655071218</v>
      </c>
      <c r="E366" s="171">
        <f t="shared" si="46"/>
        <v>0</v>
      </c>
      <c r="F366" s="170">
        <f t="shared" si="47"/>
        <v>0</v>
      </c>
      <c r="G366" s="170">
        <f t="shared" si="51"/>
        <v>0</v>
      </c>
      <c r="H366" s="170">
        <f t="shared" si="52"/>
        <v>0</v>
      </c>
      <c r="I366" s="170">
        <f t="shared" si="48"/>
        <v>0</v>
      </c>
      <c r="J366" s="170">
        <f>SUM($H$18:$H366)</f>
        <v>45254.319860854652</v>
      </c>
    </row>
    <row r="367" spans="1:10" x14ac:dyDescent="0.3">
      <c r="A367" s="168">
        <f t="shared" si="49"/>
        <v>350</v>
      </c>
      <c r="B367" s="169">
        <f t="shared" si="45"/>
        <v>56674</v>
      </c>
      <c r="C367" s="170">
        <f t="shared" si="50"/>
        <v>0</v>
      </c>
      <c r="D367" s="170">
        <f t="shared" si="53"/>
        <v>2460.4526655071218</v>
      </c>
      <c r="E367" s="171">
        <f t="shared" si="46"/>
        <v>0</v>
      </c>
      <c r="F367" s="170">
        <f t="shared" si="47"/>
        <v>0</v>
      </c>
      <c r="G367" s="170">
        <f t="shared" si="51"/>
        <v>0</v>
      </c>
      <c r="H367" s="170">
        <f t="shared" si="52"/>
        <v>0</v>
      </c>
      <c r="I367" s="170">
        <f t="shared" si="48"/>
        <v>0</v>
      </c>
      <c r="J367" s="170">
        <f>SUM($H$18:$H367)</f>
        <v>45254.319860854652</v>
      </c>
    </row>
    <row r="368" spans="1:10" x14ac:dyDescent="0.3">
      <c r="A368" s="168">
        <f t="shared" si="49"/>
        <v>351</v>
      </c>
      <c r="B368" s="169">
        <f t="shared" si="45"/>
        <v>56705</v>
      </c>
      <c r="C368" s="170">
        <f t="shared" si="50"/>
        <v>0</v>
      </c>
      <c r="D368" s="170">
        <f t="shared" si="53"/>
        <v>2460.4526655071218</v>
      </c>
      <c r="E368" s="171">
        <f t="shared" si="46"/>
        <v>0</v>
      </c>
      <c r="F368" s="170">
        <f t="shared" si="47"/>
        <v>0</v>
      </c>
      <c r="G368" s="170">
        <f t="shared" si="51"/>
        <v>0</v>
      </c>
      <c r="H368" s="170">
        <f t="shared" si="52"/>
        <v>0</v>
      </c>
      <c r="I368" s="170">
        <f t="shared" si="48"/>
        <v>0</v>
      </c>
      <c r="J368" s="170">
        <f>SUM($H$18:$H368)</f>
        <v>45254.319860854652</v>
      </c>
    </row>
    <row r="369" spans="1:10" x14ac:dyDescent="0.3">
      <c r="A369" s="168">
        <f t="shared" si="49"/>
        <v>352</v>
      </c>
      <c r="B369" s="169">
        <f t="shared" si="45"/>
        <v>56735</v>
      </c>
      <c r="C369" s="170">
        <f t="shared" si="50"/>
        <v>0</v>
      </c>
      <c r="D369" s="170">
        <f t="shared" si="53"/>
        <v>2460.4526655071218</v>
      </c>
      <c r="E369" s="171">
        <f t="shared" si="46"/>
        <v>0</v>
      </c>
      <c r="F369" s="170">
        <f t="shared" si="47"/>
        <v>0</v>
      </c>
      <c r="G369" s="170">
        <f t="shared" si="51"/>
        <v>0</v>
      </c>
      <c r="H369" s="170">
        <f t="shared" si="52"/>
        <v>0</v>
      </c>
      <c r="I369" s="170">
        <f t="shared" si="48"/>
        <v>0</v>
      </c>
      <c r="J369" s="170">
        <f>SUM($H$18:$H369)</f>
        <v>45254.319860854652</v>
      </c>
    </row>
    <row r="370" spans="1:10" x14ac:dyDescent="0.3">
      <c r="A370" s="168">
        <f t="shared" si="49"/>
        <v>353</v>
      </c>
      <c r="B370" s="169">
        <f t="shared" si="45"/>
        <v>56766</v>
      </c>
      <c r="C370" s="170">
        <f t="shared" si="50"/>
        <v>0</v>
      </c>
      <c r="D370" s="170">
        <f t="shared" si="53"/>
        <v>2460.4526655071218</v>
      </c>
      <c r="E370" s="171">
        <f t="shared" si="46"/>
        <v>0</v>
      </c>
      <c r="F370" s="170">
        <f t="shared" si="47"/>
        <v>0</v>
      </c>
      <c r="G370" s="170">
        <f t="shared" si="51"/>
        <v>0</v>
      </c>
      <c r="H370" s="170">
        <f t="shared" si="52"/>
        <v>0</v>
      </c>
      <c r="I370" s="170">
        <f t="shared" si="48"/>
        <v>0</v>
      </c>
      <c r="J370" s="170">
        <f>SUM($H$18:$H370)</f>
        <v>45254.319860854652</v>
      </c>
    </row>
    <row r="371" spans="1:10" x14ac:dyDescent="0.3">
      <c r="A371" s="168">
        <f t="shared" si="49"/>
        <v>354</v>
      </c>
      <c r="B371" s="169">
        <f t="shared" si="45"/>
        <v>56796</v>
      </c>
      <c r="C371" s="170">
        <f t="shared" si="50"/>
        <v>0</v>
      </c>
      <c r="D371" s="170">
        <f t="shared" si="53"/>
        <v>2460.4526655071218</v>
      </c>
      <c r="E371" s="171">
        <f t="shared" si="46"/>
        <v>0</v>
      </c>
      <c r="F371" s="170">
        <f t="shared" si="47"/>
        <v>0</v>
      </c>
      <c r="G371" s="170">
        <f t="shared" si="51"/>
        <v>0</v>
      </c>
      <c r="H371" s="170">
        <f t="shared" si="52"/>
        <v>0</v>
      </c>
      <c r="I371" s="170">
        <f t="shared" si="48"/>
        <v>0</v>
      </c>
      <c r="J371" s="170">
        <f>SUM($H$18:$H371)</f>
        <v>45254.319860854652</v>
      </c>
    </row>
    <row r="372" spans="1:10" x14ac:dyDescent="0.3">
      <c r="A372" s="168">
        <f t="shared" si="49"/>
        <v>355</v>
      </c>
      <c r="B372" s="169">
        <f t="shared" si="45"/>
        <v>56827</v>
      </c>
      <c r="C372" s="170">
        <f t="shared" si="50"/>
        <v>0</v>
      </c>
      <c r="D372" s="170">
        <f t="shared" si="53"/>
        <v>2460.4526655071218</v>
      </c>
      <c r="E372" s="171">
        <f t="shared" si="46"/>
        <v>0</v>
      </c>
      <c r="F372" s="170">
        <f t="shared" si="47"/>
        <v>0</v>
      </c>
      <c r="G372" s="170">
        <f t="shared" si="51"/>
        <v>0</v>
      </c>
      <c r="H372" s="170">
        <f t="shared" si="52"/>
        <v>0</v>
      </c>
      <c r="I372" s="170">
        <f t="shared" si="48"/>
        <v>0</v>
      </c>
      <c r="J372" s="170">
        <f>SUM($H$18:$H372)</f>
        <v>45254.319860854652</v>
      </c>
    </row>
    <row r="373" spans="1:10" x14ac:dyDescent="0.3">
      <c r="A373" s="168">
        <f t="shared" si="49"/>
        <v>356</v>
      </c>
      <c r="B373" s="169">
        <f t="shared" si="45"/>
        <v>56858</v>
      </c>
      <c r="C373" s="170">
        <f t="shared" si="50"/>
        <v>0</v>
      </c>
      <c r="D373" s="170">
        <f t="shared" si="53"/>
        <v>2460.4526655071218</v>
      </c>
      <c r="E373" s="171">
        <f t="shared" si="46"/>
        <v>0</v>
      </c>
      <c r="F373" s="170">
        <f t="shared" si="47"/>
        <v>0</v>
      </c>
      <c r="G373" s="170">
        <f t="shared" si="51"/>
        <v>0</v>
      </c>
      <c r="H373" s="170">
        <f t="shared" si="52"/>
        <v>0</v>
      </c>
      <c r="I373" s="170">
        <f t="shared" si="48"/>
        <v>0</v>
      </c>
      <c r="J373" s="170">
        <f>SUM($H$18:$H373)</f>
        <v>45254.319860854652</v>
      </c>
    </row>
    <row r="374" spans="1:10" x14ac:dyDescent="0.3">
      <c r="A374" s="168">
        <f t="shared" si="49"/>
        <v>357</v>
      </c>
      <c r="B374" s="169">
        <f t="shared" si="45"/>
        <v>56888</v>
      </c>
      <c r="C374" s="170">
        <f t="shared" si="50"/>
        <v>0</v>
      </c>
      <c r="D374" s="170">
        <f t="shared" si="53"/>
        <v>2460.4526655071218</v>
      </c>
      <c r="E374" s="171">
        <f t="shared" si="46"/>
        <v>0</v>
      </c>
      <c r="F374" s="170">
        <f t="shared" si="47"/>
        <v>0</v>
      </c>
      <c r="G374" s="170">
        <f t="shared" si="51"/>
        <v>0</v>
      </c>
      <c r="H374" s="170">
        <f t="shared" si="52"/>
        <v>0</v>
      </c>
      <c r="I374" s="170">
        <f t="shared" si="48"/>
        <v>0</v>
      </c>
      <c r="J374" s="170">
        <f>SUM($H$18:$H374)</f>
        <v>45254.319860854652</v>
      </c>
    </row>
    <row r="375" spans="1:10" x14ac:dyDescent="0.3">
      <c r="A375" s="168">
        <f t="shared" si="49"/>
        <v>358</v>
      </c>
      <c r="B375" s="169">
        <f t="shared" si="45"/>
        <v>56919</v>
      </c>
      <c r="C375" s="170">
        <f t="shared" si="50"/>
        <v>0</v>
      </c>
      <c r="D375" s="170">
        <f t="shared" si="53"/>
        <v>2460.4526655071218</v>
      </c>
      <c r="E375" s="171">
        <f t="shared" si="46"/>
        <v>0</v>
      </c>
      <c r="F375" s="170">
        <f t="shared" si="47"/>
        <v>0</v>
      </c>
      <c r="G375" s="170">
        <f t="shared" si="51"/>
        <v>0</v>
      </c>
      <c r="H375" s="170">
        <f t="shared" si="52"/>
        <v>0</v>
      </c>
      <c r="I375" s="170">
        <f t="shared" si="48"/>
        <v>0</v>
      </c>
      <c r="J375" s="170">
        <f>SUM($H$18:$H375)</f>
        <v>45254.319860854652</v>
      </c>
    </row>
    <row r="376" spans="1:10" x14ac:dyDescent="0.3">
      <c r="A376" s="168">
        <f t="shared" si="49"/>
        <v>359</v>
      </c>
      <c r="B376" s="169">
        <f t="shared" si="45"/>
        <v>56949</v>
      </c>
      <c r="C376" s="170">
        <f t="shared" si="50"/>
        <v>0</v>
      </c>
      <c r="D376" s="170">
        <f t="shared" si="53"/>
        <v>2460.4526655071218</v>
      </c>
      <c r="E376" s="171">
        <f t="shared" si="46"/>
        <v>0</v>
      </c>
      <c r="F376" s="170">
        <f t="shared" si="47"/>
        <v>0</v>
      </c>
      <c r="G376" s="170">
        <f t="shared" si="51"/>
        <v>0</v>
      </c>
      <c r="H376" s="170">
        <f t="shared" si="52"/>
        <v>0</v>
      </c>
      <c r="I376" s="170">
        <f t="shared" si="48"/>
        <v>0</v>
      </c>
      <c r="J376" s="170">
        <f>SUM($H$18:$H376)</f>
        <v>45254.319860854652</v>
      </c>
    </row>
    <row r="377" spans="1:10" x14ac:dyDescent="0.3">
      <c r="A377" s="168">
        <f t="shared" si="49"/>
        <v>360</v>
      </c>
      <c r="B377" s="169">
        <f t="shared" si="45"/>
        <v>56980</v>
      </c>
      <c r="C377" s="170">
        <f t="shared" ref="C377:C440" si="54">IF(Nbre_Pmt&lt;&gt;"",I376,"")</f>
        <v>0</v>
      </c>
      <c r="D377" s="170">
        <f t="shared" si="53"/>
        <v>2460.4526655071218</v>
      </c>
      <c r="E377" s="171">
        <f t="shared" si="46"/>
        <v>0</v>
      </c>
      <c r="F377" s="170">
        <f t="shared" si="47"/>
        <v>0</v>
      </c>
      <c r="G377" s="170">
        <f t="shared" si="51"/>
        <v>0</v>
      </c>
      <c r="H377" s="170">
        <f t="shared" si="52"/>
        <v>0</v>
      </c>
      <c r="I377" s="170">
        <f t="shared" si="48"/>
        <v>0</v>
      </c>
      <c r="J377" s="170">
        <f>SUM($H$18:$H377)</f>
        <v>45254.319860854652</v>
      </c>
    </row>
    <row r="378" spans="1:10" x14ac:dyDescent="0.3">
      <c r="A378" s="168">
        <f t="shared" si="49"/>
        <v>361</v>
      </c>
      <c r="B378" s="169">
        <f t="shared" si="45"/>
        <v>57011</v>
      </c>
      <c r="C378" s="170">
        <f t="shared" si="54"/>
        <v>0</v>
      </c>
      <c r="D378" s="170">
        <f t="shared" si="53"/>
        <v>2460.4526655071218</v>
      </c>
      <c r="E378" s="171">
        <f t="shared" si="46"/>
        <v>0</v>
      </c>
      <c r="F378" s="170">
        <f t="shared" si="47"/>
        <v>0</v>
      </c>
      <c r="G378" s="170">
        <f t="shared" si="51"/>
        <v>0</v>
      </c>
      <c r="H378" s="170">
        <f t="shared" si="52"/>
        <v>0</v>
      </c>
      <c r="I378" s="170">
        <f t="shared" si="48"/>
        <v>0</v>
      </c>
      <c r="J378" s="170">
        <f>SUM($H$18:$H378)</f>
        <v>45254.319860854652</v>
      </c>
    </row>
    <row r="379" spans="1:10" x14ac:dyDescent="0.3">
      <c r="A379" s="168">
        <f t="shared" si="49"/>
        <v>362</v>
      </c>
      <c r="B379" s="169">
        <f t="shared" si="45"/>
        <v>57040</v>
      </c>
      <c r="C379" s="170">
        <f t="shared" si="54"/>
        <v>0</v>
      </c>
      <c r="D379" s="170">
        <f t="shared" si="53"/>
        <v>2460.4526655071218</v>
      </c>
      <c r="E379" s="171">
        <f t="shared" si="46"/>
        <v>0</v>
      </c>
      <c r="F379" s="170">
        <f t="shared" si="47"/>
        <v>0</v>
      </c>
      <c r="G379" s="170">
        <f t="shared" si="51"/>
        <v>0</v>
      </c>
      <c r="H379" s="170">
        <f t="shared" si="52"/>
        <v>0</v>
      </c>
      <c r="I379" s="170">
        <f t="shared" si="48"/>
        <v>0</v>
      </c>
      <c r="J379" s="170">
        <f>SUM($H$18:$H379)</f>
        <v>45254.319860854652</v>
      </c>
    </row>
    <row r="380" spans="1:10" x14ac:dyDescent="0.3">
      <c r="A380" s="168">
        <f t="shared" si="49"/>
        <v>363</v>
      </c>
      <c r="B380" s="169">
        <f t="shared" si="45"/>
        <v>57071</v>
      </c>
      <c r="C380" s="170">
        <f t="shared" si="54"/>
        <v>0</v>
      </c>
      <c r="D380" s="170">
        <f t="shared" si="53"/>
        <v>2460.4526655071218</v>
      </c>
      <c r="E380" s="171">
        <f t="shared" si="46"/>
        <v>0</v>
      </c>
      <c r="F380" s="170">
        <f t="shared" si="47"/>
        <v>0</v>
      </c>
      <c r="G380" s="170">
        <f t="shared" si="51"/>
        <v>0</v>
      </c>
      <c r="H380" s="170">
        <f t="shared" si="52"/>
        <v>0</v>
      </c>
      <c r="I380" s="170">
        <f t="shared" si="48"/>
        <v>0</v>
      </c>
      <c r="J380" s="170">
        <f>SUM($H$18:$H380)</f>
        <v>45254.319860854652</v>
      </c>
    </row>
    <row r="381" spans="1:10" x14ac:dyDescent="0.3">
      <c r="A381" s="168">
        <f t="shared" si="49"/>
        <v>364</v>
      </c>
      <c r="B381" s="169">
        <f t="shared" si="45"/>
        <v>57101</v>
      </c>
      <c r="C381" s="170">
        <f t="shared" si="54"/>
        <v>0</v>
      </c>
      <c r="D381" s="170">
        <f t="shared" si="53"/>
        <v>2460.4526655071218</v>
      </c>
      <c r="E381" s="171">
        <f t="shared" si="46"/>
        <v>0</v>
      </c>
      <c r="F381" s="170">
        <f t="shared" si="47"/>
        <v>0</v>
      </c>
      <c r="G381" s="170">
        <f t="shared" si="51"/>
        <v>0</v>
      </c>
      <c r="H381" s="170">
        <f t="shared" si="52"/>
        <v>0</v>
      </c>
      <c r="I381" s="170">
        <f t="shared" si="48"/>
        <v>0</v>
      </c>
      <c r="J381" s="170">
        <f>SUM($H$18:$H381)</f>
        <v>45254.319860854652</v>
      </c>
    </row>
    <row r="382" spans="1:10" x14ac:dyDescent="0.3">
      <c r="A382" s="168">
        <f t="shared" si="49"/>
        <v>365</v>
      </c>
      <c r="B382" s="169">
        <f t="shared" si="45"/>
        <v>57132</v>
      </c>
      <c r="C382" s="170">
        <f t="shared" si="54"/>
        <v>0</v>
      </c>
      <c r="D382" s="170">
        <f t="shared" si="53"/>
        <v>2460.4526655071218</v>
      </c>
      <c r="E382" s="171">
        <f t="shared" si="46"/>
        <v>0</v>
      </c>
      <c r="F382" s="170">
        <f t="shared" si="47"/>
        <v>0</v>
      </c>
      <c r="G382" s="170">
        <f t="shared" si="51"/>
        <v>0</v>
      </c>
      <c r="H382" s="170">
        <f t="shared" si="52"/>
        <v>0</v>
      </c>
      <c r="I382" s="170">
        <f t="shared" si="48"/>
        <v>0</v>
      </c>
      <c r="J382" s="170">
        <f>SUM($H$18:$H382)</f>
        <v>45254.319860854652</v>
      </c>
    </row>
    <row r="383" spans="1:10" x14ac:dyDescent="0.3">
      <c r="A383" s="168">
        <f t="shared" si="49"/>
        <v>366</v>
      </c>
      <c r="B383" s="169">
        <f t="shared" si="45"/>
        <v>57162</v>
      </c>
      <c r="C383" s="170">
        <f t="shared" si="54"/>
        <v>0</v>
      </c>
      <c r="D383" s="170">
        <f t="shared" si="53"/>
        <v>2460.4526655071218</v>
      </c>
      <c r="E383" s="171">
        <f t="shared" si="46"/>
        <v>0</v>
      </c>
      <c r="F383" s="170">
        <f t="shared" si="47"/>
        <v>0</v>
      </c>
      <c r="G383" s="170">
        <f t="shared" si="51"/>
        <v>0</v>
      </c>
      <c r="H383" s="170">
        <f t="shared" si="52"/>
        <v>0</v>
      </c>
      <c r="I383" s="170">
        <f t="shared" si="48"/>
        <v>0</v>
      </c>
      <c r="J383" s="170">
        <f>SUM($H$18:$H383)</f>
        <v>45254.319860854652</v>
      </c>
    </row>
    <row r="384" spans="1:10" x14ac:dyDescent="0.3">
      <c r="A384" s="168">
        <f t="shared" si="49"/>
        <v>367</v>
      </c>
      <c r="B384" s="169">
        <f t="shared" si="45"/>
        <v>57193</v>
      </c>
      <c r="C384" s="170">
        <f t="shared" si="54"/>
        <v>0</v>
      </c>
      <c r="D384" s="170">
        <f t="shared" si="53"/>
        <v>2460.4526655071218</v>
      </c>
      <c r="E384" s="171">
        <f t="shared" si="46"/>
        <v>0</v>
      </c>
      <c r="F384" s="170">
        <f t="shared" si="47"/>
        <v>0</v>
      </c>
      <c r="G384" s="170">
        <f t="shared" si="51"/>
        <v>0</v>
      </c>
      <c r="H384" s="170">
        <f t="shared" si="52"/>
        <v>0</v>
      </c>
      <c r="I384" s="170">
        <f t="shared" si="48"/>
        <v>0</v>
      </c>
      <c r="J384" s="170">
        <f>SUM($H$18:$H384)</f>
        <v>45254.319860854652</v>
      </c>
    </row>
    <row r="385" spans="1:10" x14ac:dyDescent="0.3">
      <c r="A385" s="168">
        <f t="shared" si="49"/>
        <v>368</v>
      </c>
      <c r="B385" s="169">
        <f t="shared" si="45"/>
        <v>57224</v>
      </c>
      <c r="C385" s="170">
        <f t="shared" si="54"/>
        <v>0</v>
      </c>
      <c r="D385" s="170">
        <f t="shared" si="53"/>
        <v>2460.4526655071218</v>
      </c>
      <c r="E385" s="171">
        <f t="shared" si="46"/>
        <v>0</v>
      </c>
      <c r="F385" s="170">
        <f t="shared" si="47"/>
        <v>0</v>
      </c>
      <c r="G385" s="170">
        <f t="shared" si="51"/>
        <v>0</v>
      </c>
      <c r="H385" s="170">
        <f t="shared" si="52"/>
        <v>0</v>
      </c>
      <c r="I385" s="170">
        <f t="shared" si="48"/>
        <v>0</v>
      </c>
      <c r="J385" s="170">
        <f>SUM($H$18:$H385)</f>
        <v>45254.319860854652</v>
      </c>
    </row>
    <row r="386" spans="1:10" x14ac:dyDescent="0.3">
      <c r="A386" s="168">
        <f t="shared" si="49"/>
        <v>369</v>
      </c>
      <c r="B386" s="169">
        <f t="shared" si="45"/>
        <v>57254</v>
      </c>
      <c r="C386" s="170">
        <f t="shared" si="54"/>
        <v>0</v>
      </c>
      <c r="D386" s="170">
        <f t="shared" si="53"/>
        <v>2460.4526655071218</v>
      </c>
      <c r="E386" s="171">
        <f t="shared" si="46"/>
        <v>0</v>
      </c>
      <c r="F386" s="170">
        <f t="shared" si="47"/>
        <v>0</v>
      </c>
      <c r="G386" s="170">
        <f t="shared" si="51"/>
        <v>0</v>
      </c>
      <c r="H386" s="170">
        <f t="shared" si="52"/>
        <v>0</v>
      </c>
      <c r="I386" s="170">
        <f t="shared" si="48"/>
        <v>0</v>
      </c>
      <c r="J386" s="170">
        <f>SUM($H$18:$H386)</f>
        <v>45254.319860854652</v>
      </c>
    </row>
    <row r="387" spans="1:10" x14ac:dyDescent="0.3">
      <c r="A387" s="168">
        <f t="shared" si="49"/>
        <v>370</v>
      </c>
      <c r="B387" s="169">
        <f t="shared" si="45"/>
        <v>57285</v>
      </c>
      <c r="C387" s="170">
        <f t="shared" si="54"/>
        <v>0</v>
      </c>
      <c r="D387" s="170">
        <f t="shared" si="53"/>
        <v>2460.4526655071218</v>
      </c>
      <c r="E387" s="171">
        <f t="shared" si="46"/>
        <v>0</v>
      </c>
      <c r="F387" s="170">
        <f t="shared" si="47"/>
        <v>0</v>
      </c>
      <c r="G387" s="170">
        <f t="shared" si="51"/>
        <v>0</v>
      </c>
      <c r="H387" s="170">
        <f t="shared" si="52"/>
        <v>0</v>
      </c>
      <c r="I387" s="170">
        <f t="shared" si="48"/>
        <v>0</v>
      </c>
      <c r="J387" s="170">
        <f>SUM($H$18:$H387)</f>
        <v>45254.319860854652</v>
      </c>
    </row>
    <row r="388" spans="1:10" x14ac:dyDescent="0.3">
      <c r="A388" s="168">
        <f t="shared" si="49"/>
        <v>371</v>
      </c>
      <c r="B388" s="169">
        <f t="shared" si="45"/>
        <v>57315</v>
      </c>
      <c r="C388" s="170">
        <f t="shared" si="54"/>
        <v>0</v>
      </c>
      <c r="D388" s="170">
        <f t="shared" si="53"/>
        <v>2460.4526655071218</v>
      </c>
      <c r="E388" s="171">
        <f t="shared" si="46"/>
        <v>0</v>
      </c>
      <c r="F388" s="170">
        <f t="shared" si="47"/>
        <v>0</v>
      </c>
      <c r="G388" s="170">
        <f t="shared" si="51"/>
        <v>0</v>
      </c>
      <c r="H388" s="170">
        <f t="shared" si="52"/>
        <v>0</v>
      </c>
      <c r="I388" s="170">
        <f t="shared" si="48"/>
        <v>0</v>
      </c>
      <c r="J388" s="170">
        <f>SUM($H$18:$H388)</f>
        <v>45254.319860854652</v>
      </c>
    </row>
    <row r="389" spans="1:10" x14ac:dyDescent="0.3">
      <c r="A389" s="168">
        <f t="shared" si="49"/>
        <v>372</v>
      </c>
      <c r="B389" s="169">
        <f t="shared" si="45"/>
        <v>57346</v>
      </c>
      <c r="C389" s="170">
        <f t="shared" si="54"/>
        <v>0</v>
      </c>
      <c r="D389" s="170">
        <f t="shared" si="53"/>
        <v>2460.4526655071218</v>
      </c>
      <c r="E389" s="171">
        <f t="shared" si="46"/>
        <v>0</v>
      </c>
      <c r="F389" s="170">
        <f t="shared" si="47"/>
        <v>0</v>
      </c>
      <c r="G389" s="170">
        <f t="shared" si="51"/>
        <v>0</v>
      </c>
      <c r="H389" s="170">
        <f t="shared" si="52"/>
        <v>0</v>
      </c>
      <c r="I389" s="170">
        <f t="shared" si="48"/>
        <v>0</v>
      </c>
      <c r="J389" s="170">
        <f>SUM($H$18:$H389)</f>
        <v>45254.319860854652</v>
      </c>
    </row>
    <row r="390" spans="1:10" x14ac:dyDescent="0.3">
      <c r="A390" s="168">
        <f t="shared" si="49"/>
        <v>373</v>
      </c>
      <c r="B390" s="169">
        <f t="shared" si="45"/>
        <v>57377</v>
      </c>
      <c r="C390" s="170">
        <f t="shared" si="54"/>
        <v>0</v>
      </c>
      <c r="D390" s="170">
        <f t="shared" si="53"/>
        <v>2460.4526655071218</v>
      </c>
      <c r="E390" s="171">
        <f t="shared" si="46"/>
        <v>0</v>
      </c>
      <c r="F390" s="170">
        <f t="shared" si="47"/>
        <v>0</v>
      </c>
      <c r="G390" s="170">
        <f t="shared" si="51"/>
        <v>0</v>
      </c>
      <c r="H390" s="170">
        <f t="shared" si="52"/>
        <v>0</v>
      </c>
      <c r="I390" s="170">
        <f t="shared" si="48"/>
        <v>0</v>
      </c>
      <c r="J390" s="170">
        <f>SUM($H$18:$H390)</f>
        <v>45254.319860854652</v>
      </c>
    </row>
    <row r="391" spans="1:10" x14ac:dyDescent="0.3">
      <c r="A391" s="168">
        <f t="shared" si="49"/>
        <v>374</v>
      </c>
      <c r="B391" s="169">
        <f t="shared" si="45"/>
        <v>57405</v>
      </c>
      <c r="C391" s="170">
        <f t="shared" si="54"/>
        <v>0</v>
      </c>
      <c r="D391" s="170">
        <f t="shared" si="53"/>
        <v>2460.4526655071218</v>
      </c>
      <c r="E391" s="171">
        <f t="shared" si="46"/>
        <v>0</v>
      </c>
      <c r="F391" s="170">
        <f t="shared" si="47"/>
        <v>0</v>
      </c>
      <c r="G391" s="170">
        <f t="shared" si="51"/>
        <v>0</v>
      </c>
      <c r="H391" s="170">
        <f t="shared" si="52"/>
        <v>0</v>
      </c>
      <c r="I391" s="170">
        <f t="shared" si="48"/>
        <v>0</v>
      </c>
      <c r="J391" s="170">
        <f>SUM($H$18:$H391)</f>
        <v>45254.319860854652</v>
      </c>
    </row>
    <row r="392" spans="1:10" x14ac:dyDescent="0.3">
      <c r="A392" s="168">
        <f t="shared" si="49"/>
        <v>375</v>
      </c>
      <c r="B392" s="169">
        <f t="shared" si="45"/>
        <v>57436</v>
      </c>
      <c r="C392" s="170">
        <f t="shared" si="54"/>
        <v>0</v>
      </c>
      <c r="D392" s="170">
        <f t="shared" si="53"/>
        <v>2460.4526655071218</v>
      </c>
      <c r="E392" s="171">
        <f t="shared" si="46"/>
        <v>0</v>
      </c>
      <c r="F392" s="170">
        <f t="shared" si="47"/>
        <v>0</v>
      </c>
      <c r="G392" s="170">
        <f t="shared" si="51"/>
        <v>0</v>
      </c>
      <c r="H392" s="170">
        <f t="shared" si="52"/>
        <v>0</v>
      </c>
      <c r="I392" s="170">
        <f t="shared" si="48"/>
        <v>0</v>
      </c>
      <c r="J392" s="170">
        <f>SUM($H$18:$H392)</f>
        <v>45254.319860854652</v>
      </c>
    </row>
    <row r="393" spans="1:10" x14ac:dyDescent="0.3">
      <c r="A393" s="168">
        <f t="shared" si="49"/>
        <v>376</v>
      </c>
      <c r="B393" s="169">
        <f t="shared" si="45"/>
        <v>57466</v>
      </c>
      <c r="C393" s="170">
        <f t="shared" si="54"/>
        <v>0</v>
      </c>
      <c r="D393" s="170">
        <f t="shared" si="53"/>
        <v>2460.4526655071218</v>
      </c>
      <c r="E393" s="171">
        <f t="shared" si="46"/>
        <v>0</v>
      </c>
      <c r="F393" s="170">
        <f t="shared" si="47"/>
        <v>0</v>
      </c>
      <c r="G393" s="170">
        <f t="shared" si="51"/>
        <v>0</v>
      </c>
      <c r="H393" s="170">
        <f t="shared" si="52"/>
        <v>0</v>
      </c>
      <c r="I393" s="170">
        <f t="shared" si="48"/>
        <v>0</v>
      </c>
      <c r="J393" s="170">
        <f>SUM($H$18:$H393)</f>
        <v>45254.319860854652</v>
      </c>
    </row>
    <row r="394" spans="1:10" x14ac:dyDescent="0.3">
      <c r="A394" s="168">
        <f t="shared" si="49"/>
        <v>377</v>
      </c>
      <c r="B394" s="169">
        <f t="shared" si="45"/>
        <v>57497</v>
      </c>
      <c r="C394" s="170">
        <f t="shared" si="54"/>
        <v>0</v>
      </c>
      <c r="D394" s="170">
        <f t="shared" si="53"/>
        <v>2460.4526655071218</v>
      </c>
      <c r="E394" s="171">
        <f t="shared" si="46"/>
        <v>0</v>
      </c>
      <c r="F394" s="170">
        <f t="shared" si="47"/>
        <v>0</v>
      </c>
      <c r="G394" s="170">
        <f t="shared" si="51"/>
        <v>0</v>
      </c>
      <c r="H394" s="170">
        <f t="shared" si="52"/>
        <v>0</v>
      </c>
      <c r="I394" s="170">
        <f t="shared" si="48"/>
        <v>0</v>
      </c>
      <c r="J394" s="170">
        <f>SUM($H$18:$H394)</f>
        <v>45254.319860854652</v>
      </c>
    </row>
    <row r="395" spans="1:10" x14ac:dyDescent="0.3">
      <c r="A395" s="168">
        <f t="shared" si="49"/>
        <v>378</v>
      </c>
      <c r="B395" s="169">
        <f t="shared" si="45"/>
        <v>57527</v>
      </c>
      <c r="C395" s="170">
        <f t="shared" si="54"/>
        <v>0</v>
      </c>
      <c r="D395" s="170">
        <f t="shared" si="53"/>
        <v>2460.4526655071218</v>
      </c>
      <c r="E395" s="171">
        <f t="shared" si="46"/>
        <v>0</v>
      </c>
      <c r="F395" s="170">
        <f t="shared" si="47"/>
        <v>0</v>
      </c>
      <c r="G395" s="170">
        <f t="shared" si="51"/>
        <v>0</v>
      </c>
      <c r="H395" s="170">
        <f t="shared" si="52"/>
        <v>0</v>
      </c>
      <c r="I395" s="170">
        <f t="shared" si="48"/>
        <v>0</v>
      </c>
      <c r="J395" s="170">
        <f>SUM($H$18:$H395)</f>
        <v>45254.319860854652</v>
      </c>
    </row>
    <row r="396" spans="1:10" x14ac:dyDescent="0.3">
      <c r="A396" s="168">
        <f t="shared" si="49"/>
        <v>379</v>
      </c>
      <c r="B396" s="169">
        <f t="shared" si="45"/>
        <v>57558</v>
      </c>
      <c r="C396" s="170">
        <f t="shared" si="54"/>
        <v>0</v>
      </c>
      <c r="D396" s="170">
        <f t="shared" si="53"/>
        <v>2460.4526655071218</v>
      </c>
      <c r="E396" s="171">
        <f t="shared" si="46"/>
        <v>0</v>
      </c>
      <c r="F396" s="170">
        <f t="shared" si="47"/>
        <v>0</v>
      </c>
      <c r="G396" s="170">
        <f t="shared" si="51"/>
        <v>0</v>
      </c>
      <c r="H396" s="170">
        <f t="shared" si="52"/>
        <v>0</v>
      </c>
      <c r="I396" s="170">
        <f t="shared" si="48"/>
        <v>0</v>
      </c>
      <c r="J396" s="170">
        <f>SUM($H$18:$H396)</f>
        <v>45254.319860854652</v>
      </c>
    </row>
    <row r="397" spans="1:10" x14ac:dyDescent="0.3">
      <c r="A397" s="168">
        <f t="shared" si="49"/>
        <v>380</v>
      </c>
      <c r="B397" s="169">
        <f t="shared" si="45"/>
        <v>57589</v>
      </c>
      <c r="C397" s="170">
        <f t="shared" si="54"/>
        <v>0</v>
      </c>
      <c r="D397" s="170">
        <f t="shared" si="53"/>
        <v>2460.4526655071218</v>
      </c>
      <c r="E397" s="171">
        <f t="shared" si="46"/>
        <v>0</v>
      </c>
      <c r="F397" s="170">
        <f t="shared" si="47"/>
        <v>0</v>
      </c>
      <c r="G397" s="170">
        <f t="shared" si="51"/>
        <v>0</v>
      </c>
      <c r="H397" s="170">
        <f t="shared" si="52"/>
        <v>0</v>
      </c>
      <c r="I397" s="170">
        <f t="shared" si="48"/>
        <v>0</v>
      </c>
      <c r="J397" s="170">
        <f>SUM($H$18:$H397)</f>
        <v>45254.319860854652</v>
      </c>
    </row>
    <row r="398" spans="1:10" x14ac:dyDescent="0.3">
      <c r="A398" s="168">
        <f t="shared" si="49"/>
        <v>381</v>
      </c>
      <c r="B398" s="169">
        <f t="shared" si="45"/>
        <v>57619</v>
      </c>
      <c r="C398" s="170">
        <f t="shared" si="54"/>
        <v>0</v>
      </c>
      <c r="D398" s="170">
        <f t="shared" si="53"/>
        <v>2460.4526655071218</v>
      </c>
      <c r="E398" s="171">
        <f t="shared" si="46"/>
        <v>0</v>
      </c>
      <c r="F398" s="170">
        <f t="shared" si="47"/>
        <v>0</v>
      </c>
      <c r="G398" s="170">
        <f t="shared" si="51"/>
        <v>0</v>
      </c>
      <c r="H398" s="170">
        <f t="shared" si="52"/>
        <v>0</v>
      </c>
      <c r="I398" s="170">
        <f t="shared" si="48"/>
        <v>0</v>
      </c>
      <c r="J398" s="170">
        <f>SUM($H$18:$H398)</f>
        <v>45254.319860854652</v>
      </c>
    </row>
    <row r="399" spans="1:10" x14ac:dyDescent="0.3">
      <c r="A399" s="168">
        <f t="shared" si="49"/>
        <v>382</v>
      </c>
      <c r="B399" s="169">
        <f t="shared" si="45"/>
        <v>57650</v>
      </c>
      <c r="C399" s="170">
        <f t="shared" si="54"/>
        <v>0</v>
      </c>
      <c r="D399" s="170">
        <f t="shared" si="53"/>
        <v>2460.4526655071218</v>
      </c>
      <c r="E399" s="171">
        <f t="shared" si="46"/>
        <v>0</v>
      </c>
      <c r="F399" s="170">
        <f t="shared" si="47"/>
        <v>0</v>
      </c>
      <c r="G399" s="170">
        <f t="shared" si="51"/>
        <v>0</v>
      </c>
      <c r="H399" s="170">
        <f t="shared" si="52"/>
        <v>0</v>
      </c>
      <c r="I399" s="170">
        <f t="shared" si="48"/>
        <v>0</v>
      </c>
      <c r="J399" s="170">
        <f>SUM($H$18:$H399)</f>
        <v>45254.319860854652</v>
      </c>
    </row>
    <row r="400" spans="1:10" x14ac:dyDescent="0.3">
      <c r="A400" s="168">
        <f t="shared" si="49"/>
        <v>383</v>
      </c>
      <c r="B400" s="169">
        <f t="shared" si="45"/>
        <v>57680</v>
      </c>
      <c r="C400" s="170">
        <f t="shared" si="54"/>
        <v>0</v>
      </c>
      <c r="D400" s="170">
        <f t="shared" si="53"/>
        <v>2460.4526655071218</v>
      </c>
      <c r="E400" s="171">
        <f t="shared" si="46"/>
        <v>0</v>
      </c>
      <c r="F400" s="170">
        <f t="shared" si="47"/>
        <v>0</v>
      </c>
      <c r="G400" s="170">
        <f t="shared" si="51"/>
        <v>0</v>
      </c>
      <c r="H400" s="170">
        <f t="shared" si="52"/>
        <v>0</v>
      </c>
      <c r="I400" s="170">
        <f t="shared" si="48"/>
        <v>0</v>
      </c>
      <c r="J400" s="170">
        <f>SUM($H$18:$H400)</f>
        <v>45254.319860854652</v>
      </c>
    </row>
    <row r="401" spans="1:10" x14ac:dyDescent="0.3">
      <c r="A401" s="168">
        <f t="shared" si="49"/>
        <v>384</v>
      </c>
      <c r="B401" s="169">
        <f t="shared" si="45"/>
        <v>57711</v>
      </c>
      <c r="C401" s="170">
        <f t="shared" si="54"/>
        <v>0</v>
      </c>
      <c r="D401" s="170">
        <f t="shared" si="53"/>
        <v>2460.4526655071218</v>
      </c>
      <c r="E401" s="171">
        <f t="shared" si="46"/>
        <v>0</v>
      </c>
      <c r="F401" s="170">
        <f t="shared" si="47"/>
        <v>0</v>
      </c>
      <c r="G401" s="170">
        <f t="shared" si="51"/>
        <v>0</v>
      </c>
      <c r="H401" s="170">
        <f t="shared" si="52"/>
        <v>0</v>
      </c>
      <c r="I401" s="170">
        <f t="shared" si="48"/>
        <v>0</v>
      </c>
      <c r="J401" s="170">
        <f>SUM($H$18:$H401)</f>
        <v>45254.319860854652</v>
      </c>
    </row>
    <row r="402" spans="1:10" x14ac:dyDescent="0.3">
      <c r="A402" s="168">
        <f t="shared" si="49"/>
        <v>385</v>
      </c>
      <c r="B402" s="169">
        <f t="shared" ref="B402:B465" si="55">IF(Nbre_Pmt&lt;&gt;"",DATE(YEAR(Début_Prêt),MONTH(Début_Prêt)+(Nbre_Pmt)*12/Nbre_Pmt_Par_An,DAY(Début_Prêt)),"")</f>
        <v>57742</v>
      </c>
      <c r="C402" s="170">
        <f t="shared" si="54"/>
        <v>0</v>
      </c>
      <c r="D402" s="170">
        <f t="shared" si="53"/>
        <v>2460.4526655071218</v>
      </c>
      <c r="E402" s="171">
        <f t="shared" ref="E402:E465" si="56">IF(AND(Nbre_Pmt&lt;&gt;"",Pmt_Programmé+Pmts_Supplémentaires_Programmés&lt;Solde_Départ),Pmts_Supplémentaires_Programmés,IF(AND(Nbre_Pmt&lt;&gt;"",Solde_Départ-Pmt_Programmé&gt;0),Solde_Départ-Pmt_Programmé,IF(Nbre_Pmt&lt;&gt;"",0,"")))</f>
        <v>0</v>
      </c>
      <c r="F402" s="170">
        <f t="shared" ref="F402:F465" si="57">IF(AND(Nbre_Pmt&lt;&gt;"",Pmt_Programmé+Pmt_Supplémentaire&lt;Solde_Départ),Pmt_Programmé+Pmt_Supplémentaire,IF(Nbre_Pmt&lt;&gt;"",Solde_Départ,""))</f>
        <v>0</v>
      </c>
      <c r="G402" s="170">
        <f t="shared" si="51"/>
        <v>0</v>
      </c>
      <c r="H402" s="170">
        <f t="shared" si="52"/>
        <v>0</v>
      </c>
      <c r="I402" s="170">
        <f t="shared" ref="I402:I465" si="58">IF(AND(Nbre_Pmt&lt;&gt;"",Pmt_Programmé+Pmt_Supplémentaire&lt;Solde_Départ),Solde_Départ-Princ,IF(Nbre_Pmt&lt;&gt;"",0,""))</f>
        <v>0</v>
      </c>
      <c r="J402" s="170">
        <f>SUM($H$18:$H402)</f>
        <v>45254.319860854652</v>
      </c>
    </row>
    <row r="403" spans="1:10" x14ac:dyDescent="0.3">
      <c r="A403" s="168">
        <f t="shared" ref="A403:A466" si="59">IF(Valeurs_Entrées,A402+1,"")</f>
        <v>386</v>
      </c>
      <c r="B403" s="169">
        <f t="shared" si="55"/>
        <v>57770</v>
      </c>
      <c r="C403" s="170">
        <f t="shared" si="54"/>
        <v>0</v>
      </c>
      <c r="D403" s="170">
        <f t="shared" si="53"/>
        <v>2460.4526655071218</v>
      </c>
      <c r="E403" s="171">
        <f t="shared" si="56"/>
        <v>0</v>
      </c>
      <c r="F403" s="170">
        <f t="shared" si="57"/>
        <v>0</v>
      </c>
      <c r="G403" s="170">
        <f t="shared" ref="G403:G466" si="60">IF(Nbre_Pmt&lt;&gt;"",Pmt_Total-Ent,"")</f>
        <v>0</v>
      </c>
      <c r="H403" s="170">
        <f t="shared" ref="H403:H466" si="61">IF(Nbre_Pmt&lt;&gt;"",Solde_Départ*Taux_Intérêt/Nbre_Pmt_Par_An,"")</f>
        <v>0</v>
      </c>
      <c r="I403" s="170">
        <f t="shared" si="58"/>
        <v>0</v>
      </c>
      <c r="J403" s="170">
        <f>SUM($H$18:$H403)</f>
        <v>45254.319860854652</v>
      </c>
    </row>
    <row r="404" spans="1:10" x14ac:dyDescent="0.3">
      <c r="A404" s="168">
        <f t="shared" si="59"/>
        <v>387</v>
      </c>
      <c r="B404" s="169">
        <f t="shared" si="55"/>
        <v>57801</v>
      </c>
      <c r="C404" s="170">
        <f t="shared" si="54"/>
        <v>0</v>
      </c>
      <c r="D404" s="170">
        <f t="shared" ref="D404:D467" si="62">IF(Nbre_Pmt&lt;&gt;"",Pmt_Mensuel_Programmé,"")</f>
        <v>2460.4526655071218</v>
      </c>
      <c r="E404" s="171">
        <f t="shared" si="56"/>
        <v>0</v>
      </c>
      <c r="F404" s="170">
        <f t="shared" si="57"/>
        <v>0</v>
      </c>
      <c r="G404" s="170">
        <f t="shared" si="60"/>
        <v>0</v>
      </c>
      <c r="H404" s="170">
        <f t="shared" si="61"/>
        <v>0</v>
      </c>
      <c r="I404" s="170">
        <f t="shared" si="58"/>
        <v>0</v>
      </c>
      <c r="J404" s="170">
        <f>SUM($H$18:$H404)</f>
        <v>45254.319860854652</v>
      </c>
    </row>
    <row r="405" spans="1:10" x14ac:dyDescent="0.3">
      <c r="A405" s="168">
        <f t="shared" si="59"/>
        <v>388</v>
      </c>
      <c r="B405" s="169">
        <f t="shared" si="55"/>
        <v>57831</v>
      </c>
      <c r="C405" s="170">
        <f t="shared" si="54"/>
        <v>0</v>
      </c>
      <c r="D405" s="170">
        <f t="shared" si="62"/>
        <v>2460.4526655071218</v>
      </c>
      <c r="E405" s="171">
        <f t="shared" si="56"/>
        <v>0</v>
      </c>
      <c r="F405" s="170">
        <f t="shared" si="57"/>
        <v>0</v>
      </c>
      <c r="G405" s="170">
        <f t="shared" si="60"/>
        <v>0</v>
      </c>
      <c r="H405" s="170">
        <f t="shared" si="61"/>
        <v>0</v>
      </c>
      <c r="I405" s="170">
        <f t="shared" si="58"/>
        <v>0</v>
      </c>
      <c r="J405" s="170">
        <f>SUM($H$18:$H405)</f>
        <v>45254.319860854652</v>
      </c>
    </row>
    <row r="406" spans="1:10" x14ac:dyDescent="0.3">
      <c r="A406" s="168">
        <f t="shared" si="59"/>
        <v>389</v>
      </c>
      <c r="B406" s="169">
        <f t="shared" si="55"/>
        <v>57862</v>
      </c>
      <c r="C406" s="170">
        <f t="shared" si="54"/>
        <v>0</v>
      </c>
      <c r="D406" s="170">
        <f t="shared" si="62"/>
        <v>2460.4526655071218</v>
      </c>
      <c r="E406" s="171">
        <f t="shared" si="56"/>
        <v>0</v>
      </c>
      <c r="F406" s="170">
        <f t="shared" si="57"/>
        <v>0</v>
      </c>
      <c r="G406" s="170">
        <f t="shared" si="60"/>
        <v>0</v>
      </c>
      <c r="H406" s="170">
        <f t="shared" si="61"/>
        <v>0</v>
      </c>
      <c r="I406" s="170">
        <f t="shared" si="58"/>
        <v>0</v>
      </c>
      <c r="J406" s="170">
        <f>SUM($H$18:$H406)</f>
        <v>45254.319860854652</v>
      </c>
    </row>
    <row r="407" spans="1:10" x14ac:dyDescent="0.3">
      <c r="A407" s="168">
        <f t="shared" si="59"/>
        <v>390</v>
      </c>
      <c r="B407" s="169">
        <f t="shared" si="55"/>
        <v>57892</v>
      </c>
      <c r="C407" s="170">
        <f t="shared" si="54"/>
        <v>0</v>
      </c>
      <c r="D407" s="170">
        <f t="shared" si="62"/>
        <v>2460.4526655071218</v>
      </c>
      <c r="E407" s="171">
        <f t="shared" si="56"/>
        <v>0</v>
      </c>
      <c r="F407" s="170">
        <f t="shared" si="57"/>
        <v>0</v>
      </c>
      <c r="G407" s="170">
        <f t="shared" si="60"/>
        <v>0</v>
      </c>
      <c r="H407" s="170">
        <f t="shared" si="61"/>
        <v>0</v>
      </c>
      <c r="I407" s="170">
        <f t="shared" si="58"/>
        <v>0</v>
      </c>
      <c r="J407" s="170">
        <f>SUM($H$18:$H407)</f>
        <v>45254.319860854652</v>
      </c>
    </row>
    <row r="408" spans="1:10" x14ac:dyDescent="0.3">
      <c r="A408" s="168">
        <f t="shared" si="59"/>
        <v>391</v>
      </c>
      <c r="B408" s="169">
        <f t="shared" si="55"/>
        <v>57923</v>
      </c>
      <c r="C408" s="170">
        <f t="shared" si="54"/>
        <v>0</v>
      </c>
      <c r="D408" s="170">
        <f t="shared" si="62"/>
        <v>2460.4526655071218</v>
      </c>
      <c r="E408" s="171">
        <f t="shared" si="56"/>
        <v>0</v>
      </c>
      <c r="F408" s="170">
        <f t="shared" si="57"/>
        <v>0</v>
      </c>
      <c r="G408" s="170">
        <f t="shared" si="60"/>
        <v>0</v>
      </c>
      <c r="H408" s="170">
        <f t="shared" si="61"/>
        <v>0</v>
      </c>
      <c r="I408" s="170">
        <f t="shared" si="58"/>
        <v>0</v>
      </c>
      <c r="J408" s="170">
        <f>SUM($H$18:$H408)</f>
        <v>45254.319860854652</v>
      </c>
    </row>
    <row r="409" spans="1:10" x14ac:dyDescent="0.3">
      <c r="A409" s="168">
        <f t="shared" si="59"/>
        <v>392</v>
      </c>
      <c r="B409" s="169">
        <f t="shared" si="55"/>
        <v>57954</v>
      </c>
      <c r="C409" s="170">
        <f t="shared" si="54"/>
        <v>0</v>
      </c>
      <c r="D409" s="170">
        <f t="shared" si="62"/>
        <v>2460.4526655071218</v>
      </c>
      <c r="E409" s="171">
        <f t="shared" si="56"/>
        <v>0</v>
      </c>
      <c r="F409" s="170">
        <f t="shared" si="57"/>
        <v>0</v>
      </c>
      <c r="G409" s="170">
        <f t="shared" si="60"/>
        <v>0</v>
      </c>
      <c r="H409" s="170">
        <f t="shared" si="61"/>
        <v>0</v>
      </c>
      <c r="I409" s="170">
        <f t="shared" si="58"/>
        <v>0</v>
      </c>
      <c r="J409" s="170">
        <f>SUM($H$18:$H409)</f>
        <v>45254.319860854652</v>
      </c>
    </row>
    <row r="410" spans="1:10" x14ac:dyDescent="0.3">
      <c r="A410" s="168">
        <f t="shared" si="59"/>
        <v>393</v>
      </c>
      <c r="B410" s="169">
        <f t="shared" si="55"/>
        <v>57984</v>
      </c>
      <c r="C410" s="170">
        <f t="shared" si="54"/>
        <v>0</v>
      </c>
      <c r="D410" s="170">
        <f t="shared" si="62"/>
        <v>2460.4526655071218</v>
      </c>
      <c r="E410" s="171">
        <f t="shared" si="56"/>
        <v>0</v>
      </c>
      <c r="F410" s="170">
        <f t="shared" si="57"/>
        <v>0</v>
      </c>
      <c r="G410" s="170">
        <f t="shared" si="60"/>
        <v>0</v>
      </c>
      <c r="H410" s="170">
        <f t="shared" si="61"/>
        <v>0</v>
      </c>
      <c r="I410" s="170">
        <f t="shared" si="58"/>
        <v>0</v>
      </c>
      <c r="J410" s="170">
        <f>SUM($H$18:$H410)</f>
        <v>45254.319860854652</v>
      </c>
    </row>
    <row r="411" spans="1:10" x14ac:dyDescent="0.3">
      <c r="A411" s="168">
        <f t="shared" si="59"/>
        <v>394</v>
      </c>
      <c r="B411" s="169">
        <f t="shared" si="55"/>
        <v>58015</v>
      </c>
      <c r="C411" s="170">
        <f t="shared" si="54"/>
        <v>0</v>
      </c>
      <c r="D411" s="170">
        <f t="shared" si="62"/>
        <v>2460.4526655071218</v>
      </c>
      <c r="E411" s="171">
        <f t="shared" si="56"/>
        <v>0</v>
      </c>
      <c r="F411" s="170">
        <f t="shared" si="57"/>
        <v>0</v>
      </c>
      <c r="G411" s="170">
        <f t="shared" si="60"/>
        <v>0</v>
      </c>
      <c r="H411" s="170">
        <f t="shared" si="61"/>
        <v>0</v>
      </c>
      <c r="I411" s="170">
        <f t="shared" si="58"/>
        <v>0</v>
      </c>
      <c r="J411" s="170">
        <f>SUM($H$18:$H411)</f>
        <v>45254.319860854652</v>
      </c>
    </row>
    <row r="412" spans="1:10" x14ac:dyDescent="0.3">
      <c r="A412" s="168">
        <f t="shared" si="59"/>
        <v>395</v>
      </c>
      <c r="B412" s="169">
        <f t="shared" si="55"/>
        <v>58045</v>
      </c>
      <c r="C412" s="170">
        <f t="shared" si="54"/>
        <v>0</v>
      </c>
      <c r="D412" s="170">
        <f t="shared" si="62"/>
        <v>2460.4526655071218</v>
      </c>
      <c r="E412" s="171">
        <f t="shared" si="56"/>
        <v>0</v>
      </c>
      <c r="F412" s="170">
        <f t="shared" si="57"/>
        <v>0</v>
      </c>
      <c r="G412" s="170">
        <f t="shared" si="60"/>
        <v>0</v>
      </c>
      <c r="H412" s="170">
        <f t="shared" si="61"/>
        <v>0</v>
      </c>
      <c r="I412" s="170">
        <f t="shared" si="58"/>
        <v>0</v>
      </c>
      <c r="J412" s="170">
        <f>SUM($H$18:$H412)</f>
        <v>45254.319860854652</v>
      </c>
    </row>
    <row r="413" spans="1:10" x14ac:dyDescent="0.3">
      <c r="A413" s="168">
        <f t="shared" si="59"/>
        <v>396</v>
      </c>
      <c r="B413" s="169">
        <f t="shared" si="55"/>
        <v>58076</v>
      </c>
      <c r="C413" s="170">
        <f t="shared" si="54"/>
        <v>0</v>
      </c>
      <c r="D413" s="170">
        <f t="shared" si="62"/>
        <v>2460.4526655071218</v>
      </c>
      <c r="E413" s="171">
        <f t="shared" si="56"/>
        <v>0</v>
      </c>
      <c r="F413" s="170">
        <f t="shared" si="57"/>
        <v>0</v>
      </c>
      <c r="G413" s="170">
        <f t="shared" si="60"/>
        <v>0</v>
      </c>
      <c r="H413" s="170">
        <f t="shared" si="61"/>
        <v>0</v>
      </c>
      <c r="I413" s="170">
        <f t="shared" si="58"/>
        <v>0</v>
      </c>
      <c r="J413" s="170">
        <f>SUM($H$18:$H413)</f>
        <v>45254.319860854652</v>
      </c>
    </row>
    <row r="414" spans="1:10" x14ac:dyDescent="0.3">
      <c r="A414" s="168">
        <f t="shared" si="59"/>
        <v>397</v>
      </c>
      <c r="B414" s="169">
        <f t="shared" si="55"/>
        <v>58107</v>
      </c>
      <c r="C414" s="170">
        <f t="shared" si="54"/>
        <v>0</v>
      </c>
      <c r="D414" s="170">
        <f t="shared" si="62"/>
        <v>2460.4526655071218</v>
      </c>
      <c r="E414" s="171">
        <f t="shared" si="56"/>
        <v>0</v>
      </c>
      <c r="F414" s="170">
        <f t="shared" si="57"/>
        <v>0</v>
      </c>
      <c r="G414" s="170">
        <f t="shared" si="60"/>
        <v>0</v>
      </c>
      <c r="H414" s="170">
        <f t="shared" si="61"/>
        <v>0</v>
      </c>
      <c r="I414" s="170">
        <f t="shared" si="58"/>
        <v>0</v>
      </c>
      <c r="J414" s="170">
        <f>SUM($H$18:$H414)</f>
        <v>45254.319860854652</v>
      </c>
    </row>
    <row r="415" spans="1:10" x14ac:dyDescent="0.3">
      <c r="A415" s="168">
        <f t="shared" si="59"/>
        <v>398</v>
      </c>
      <c r="B415" s="169">
        <f t="shared" si="55"/>
        <v>58135</v>
      </c>
      <c r="C415" s="170">
        <f t="shared" si="54"/>
        <v>0</v>
      </c>
      <c r="D415" s="170">
        <f t="shared" si="62"/>
        <v>2460.4526655071218</v>
      </c>
      <c r="E415" s="171">
        <f t="shared" si="56"/>
        <v>0</v>
      </c>
      <c r="F415" s="170">
        <f t="shared" si="57"/>
        <v>0</v>
      </c>
      <c r="G415" s="170">
        <f t="shared" si="60"/>
        <v>0</v>
      </c>
      <c r="H415" s="170">
        <f t="shared" si="61"/>
        <v>0</v>
      </c>
      <c r="I415" s="170">
        <f t="shared" si="58"/>
        <v>0</v>
      </c>
      <c r="J415" s="170">
        <f>SUM($H$18:$H415)</f>
        <v>45254.319860854652</v>
      </c>
    </row>
    <row r="416" spans="1:10" x14ac:dyDescent="0.3">
      <c r="A416" s="168">
        <f t="shared" si="59"/>
        <v>399</v>
      </c>
      <c r="B416" s="169">
        <f t="shared" si="55"/>
        <v>58166</v>
      </c>
      <c r="C416" s="170">
        <f t="shared" si="54"/>
        <v>0</v>
      </c>
      <c r="D416" s="170">
        <f t="shared" si="62"/>
        <v>2460.4526655071218</v>
      </c>
      <c r="E416" s="171">
        <f t="shared" si="56"/>
        <v>0</v>
      </c>
      <c r="F416" s="170">
        <f t="shared" si="57"/>
        <v>0</v>
      </c>
      <c r="G416" s="170">
        <f t="shared" si="60"/>
        <v>0</v>
      </c>
      <c r="H416" s="170">
        <f t="shared" si="61"/>
        <v>0</v>
      </c>
      <c r="I416" s="170">
        <f t="shared" si="58"/>
        <v>0</v>
      </c>
      <c r="J416" s="170">
        <f>SUM($H$18:$H416)</f>
        <v>45254.319860854652</v>
      </c>
    </row>
    <row r="417" spans="1:10" x14ac:dyDescent="0.3">
      <c r="A417" s="168">
        <f t="shared" si="59"/>
        <v>400</v>
      </c>
      <c r="B417" s="169">
        <f t="shared" si="55"/>
        <v>58196</v>
      </c>
      <c r="C417" s="170">
        <f t="shared" si="54"/>
        <v>0</v>
      </c>
      <c r="D417" s="170">
        <f t="shared" si="62"/>
        <v>2460.4526655071218</v>
      </c>
      <c r="E417" s="171">
        <f t="shared" si="56"/>
        <v>0</v>
      </c>
      <c r="F417" s="170">
        <f t="shared" si="57"/>
        <v>0</v>
      </c>
      <c r="G417" s="170">
        <f t="shared" si="60"/>
        <v>0</v>
      </c>
      <c r="H417" s="170">
        <f t="shared" si="61"/>
        <v>0</v>
      </c>
      <c r="I417" s="170">
        <f t="shared" si="58"/>
        <v>0</v>
      </c>
      <c r="J417" s="170">
        <f>SUM($H$18:$H417)</f>
        <v>45254.319860854652</v>
      </c>
    </row>
    <row r="418" spans="1:10" x14ac:dyDescent="0.3">
      <c r="A418" s="168">
        <f t="shared" si="59"/>
        <v>401</v>
      </c>
      <c r="B418" s="169">
        <f t="shared" si="55"/>
        <v>58227</v>
      </c>
      <c r="C418" s="170">
        <f t="shared" si="54"/>
        <v>0</v>
      </c>
      <c r="D418" s="170">
        <f t="shared" si="62"/>
        <v>2460.4526655071218</v>
      </c>
      <c r="E418" s="171">
        <f t="shared" si="56"/>
        <v>0</v>
      </c>
      <c r="F418" s="170">
        <f t="shared" si="57"/>
        <v>0</v>
      </c>
      <c r="G418" s="170">
        <f t="shared" si="60"/>
        <v>0</v>
      </c>
      <c r="H418" s="170">
        <f t="shared" si="61"/>
        <v>0</v>
      </c>
      <c r="I418" s="170">
        <f t="shared" si="58"/>
        <v>0</v>
      </c>
      <c r="J418" s="170">
        <f>SUM($H$18:$H418)</f>
        <v>45254.319860854652</v>
      </c>
    </row>
    <row r="419" spans="1:10" x14ac:dyDescent="0.3">
      <c r="A419" s="168">
        <f t="shared" si="59"/>
        <v>402</v>
      </c>
      <c r="B419" s="169">
        <f t="shared" si="55"/>
        <v>58257</v>
      </c>
      <c r="C419" s="170">
        <f t="shared" si="54"/>
        <v>0</v>
      </c>
      <c r="D419" s="170">
        <f t="shared" si="62"/>
        <v>2460.4526655071218</v>
      </c>
      <c r="E419" s="171">
        <f t="shared" si="56"/>
        <v>0</v>
      </c>
      <c r="F419" s="170">
        <f t="shared" si="57"/>
        <v>0</v>
      </c>
      <c r="G419" s="170">
        <f t="shared" si="60"/>
        <v>0</v>
      </c>
      <c r="H419" s="170">
        <f t="shared" si="61"/>
        <v>0</v>
      </c>
      <c r="I419" s="170">
        <f t="shared" si="58"/>
        <v>0</v>
      </c>
      <c r="J419" s="170">
        <f>SUM($H$18:$H419)</f>
        <v>45254.319860854652</v>
      </c>
    </row>
    <row r="420" spans="1:10" x14ac:dyDescent="0.3">
      <c r="A420" s="168">
        <f t="shared" si="59"/>
        <v>403</v>
      </c>
      <c r="B420" s="169">
        <f t="shared" si="55"/>
        <v>58288</v>
      </c>
      <c r="C420" s="170">
        <f t="shared" si="54"/>
        <v>0</v>
      </c>
      <c r="D420" s="170">
        <f t="shared" si="62"/>
        <v>2460.4526655071218</v>
      </c>
      <c r="E420" s="171">
        <f t="shared" si="56"/>
        <v>0</v>
      </c>
      <c r="F420" s="170">
        <f t="shared" si="57"/>
        <v>0</v>
      </c>
      <c r="G420" s="170">
        <f t="shared" si="60"/>
        <v>0</v>
      </c>
      <c r="H420" s="170">
        <f t="shared" si="61"/>
        <v>0</v>
      </c>
      <c r="I420" s="170">
        <f t="shared" si="58"/>
        <v>0</v>
      </c>
      <c r="J420" s="170">
        <f>SUM($H$18:$H420)</f>
        <v>45254.319860854652</v>
      </c>
    </row>
    <row r="421" spans="1:10" x14ac:dyDescent="0.3">
      <c r="A421" s="168">
        <f t="shared" si="59"/>
        <v>404</v>
      </c>
      <c r="B421" s="169">
        <f t="shared" si="55"/>
        <v>58319</v>
      </c>
      <c r="C421" s="170">
        <f t="shared" si="54"/>
        <v>0</v>
      </c>
      <c r="D421" s="170">
        <f t="shared" si="62"/>
        <v>2460.4526655071218</v>
      </c>
      <c r="E421" s="171">
        <f t="shared" si="56"/>
        <v>0</v>
      </c>
      <c r="F421" s="170">
        <f t="shared" si="57"/>
        <v>0</v>
      </c>
      <c r="G421" s="170">
        <f t="shared" si="60"/>
        <v>0</v>
      </c>
      <c r="H421" s="170">
        <f t="shared" si="61"/>
        <v>0</v>
      </c>
      <c r="I421" s="170">
        <f t="shared" si="58"/>
        <v>0</v>
      </c>
      <c r="J421" s="170">
        <f>SUM($H$18:$H421)</f>
        <v>45254.319860854652</v>
      </c>
    </row>
    <row r="422" spans="1:10" x14ac:dyDescent="0.3">
      <c r="A422" s="168">
        <f t="shared" si="59"/>
        <v>405</v>
      </c>
      <c r="B422" s="169">
        <f t="shared" si="55"/>
        <v>58349</v>
      </c>
      <c r="C422" s="170">
        <f t="shared" si="54"/>
        <v>0</v>
      </c>
      <c r="D422" s="170">
        <f t="shared" si="62"/>
        <v>2460.4526655071218</v>
      </c>
      <c r="E422" s="171">
        <f t="shared" si="56"/>
        <v>0</v>
      </c>
      <c r="F422" s="170">
        <f t="shared" si="57"/>
        <v>0</v>
      </c>
      <c r="G422" s="170">
        <f t="shared" si="60"/>
        <v>0</v>
      </c>
      <c r="H422" s="170">
        <f t="shared" si="61"/>
        <v>0</v>
      </c>
      <c r="I422" s="170">
        <f t="shared" si="58"/>
        <v>0</v>
      </c>
      <c r="J422" s="170">
        <f>SUM($H$18:$H422)</f>
        <v>45254.319860854652</v>
      </c>
    </row>
    <row r="423" spans="1:10" x14ac:dyDescent="0.3">
      <c r="A423" s="168">
        <f t="shared" si="59"/>
        <v>406</v>
      </c>
      <c r="B423" s="169">
        <f t="shared" si="55"/>
        <v>58380</v>
      </c>
      <c r="C423" s="170">
        <f t="shared" si="54"/>
        <v>0</v>
      </c>
      <c r="D423" s="170">
        <f t="shared" si="62"/>
        <v>2460.4526655071218</v>
      </c>
      <c r="E423" s="171">
        <f t="shared" si="56"/>
        <v>0</v>
      </c>
      <c r="F423" s="170">
        <f t="shared" si="57"/>
        <v>0</v>
      </c>
      <c r="G423" s="170">
        <f t="shared" si="60"/>
        <v>0</v>
      </c>
      <c r="H423" s="170">
        <f t="shared" si="61"/>
        <v>0</v>
      </c>
      <c r="I423" s="170">
        <f t="shared" si="58"/>
        <v>0</v>
      </c>
      <c r="J423" s="170">
        <f>SUM($H$18:$H423)</f>
        <v>45254.319860854652</v>
      </c>
    </row>
    <row r="424" spans="1:10" x14ac:dyDescent="0.3">
      <c r="A424" s="168">
        <f t="shared" si="59"/>
        <v>407</v>
      </c>
      <c r="B424" s="169">
        <f t="shared" si="55"/>
        <v>58410</v>
      </c>
      <c r="C424" s="170">
        <f t="shared" si="54"/>
        <v>0</v>
      </c>
      <c r="D424" s="170">
        <f t="shared" si="62"/>
        <v>2460.4526655071218</v>
      </c>
      <c r="E424" s="171">
        <f t="shared" si="56"/>
        <v>0</v>
      </c>
      <c r="F424" s="170">
        <f t="shared" si="57"/>
        <v>0</v>
      </c>
      <c r="G424" s="170">
        <f t="shared" si="60"/>
        <v>0</v>
      </c>
      <c r="H424" s="170">
        <f t="shared" si="61"/>
        <v>0</v>
      </c>
      <c r="I424" s="170">
        <f t="shared" si="58"/>
        <v>0</v>
      </c>
      <c r="J424" s="170">
        <f>SUM($H$18:$H424)</f>
        <v>45254.319860854652</v>
      </c>
    </row>
    <row r="425" spans="1:10" x14ac:dyDescent="0.3">
      <c r="A425" s="168">
        <f t="shared" si="59"/>
        <v>408</v>
      </c>
      <c r="B425" s="169">
        <f t="shared" si="55"/>
        <v>58441</v>
      </c>
      <c r="C425" s="170">
        <f t="shared" si="54"/>
        <v>0</v>
      </c>
      <c r="D425" s="170">
        <f t="shared" si="62"/>
        <v>2460.4526655071218</v>
      </c>
      <c r="E425" s="171">
        <f t="shared" si="56"/>
        <v>0</v>
      </c>
      <c r="F425" s="170">
        <f t="shared" si="57"/>
        <v>0</v>
      </c>
      <c r="G425" s="170">
        <f t="shared" si="60"/>
        <v>0</v>
      </c>
      <c r="H425" s="170">
        <f t="shared" si="61"/>
        <v>0</v>
      </c>
      <c r="I425" s="170">
        <f t="shared" si="58"/>
        <v>0</v>
      </c>
      <c r="J425" s="170">
        <f>SUM($H$18:$H425)</f>
        <v>45254.319860854652</v>
      </c>
    </row>
    <row r="426" spans="1:10" x14ac:dyDescent="0.3">
      <c r="A426" s="168">
        <f t="shared" si="59"/>
        <v>409</v>
      </c>
      <c r="B426" s="169">
        <f t="shared" si="55"/>
        <v>58472</v>
      </c>
      <c r="C426" s="170">
        <f t="shared" si="54"/>
        <v>0</v>
      </c>
      <c r="D426" s="170">
        <f t="shared" si="62"/>
        <v>2460.4526655071218</v>
      </c>
      <c r="E426" s="171">
        <f t="shared" si="56"/>
        <v>0</v>
      </c>
      <c r="F426" s="170">
        <f t="shared" si="57"/>
        <v>0</v>
      </c>
      <c r="G426" s="170">
        <f t="shared" si="60"/>
        <v>0</v>
      </c>
      <c r="H426" s="170">
        <f t="shared" si="61"/>
        <v>0</v>
      </c>
      <c r="I426" s="170">
        <f t="shared" si="58"/>
        <v>0</v>
      </c>
      <c r="J426" s="170">
        <f>SUM($H$18:$H426)</f>
        <v>45254.319860854652</v>
      </c>
    </row>
    <row r="427" spans="1:10" x14ac:dyDescent="0.3">
      <c r="A427" s="168">
        <f t="shared" si="59"/>
        <v>410</v>
      </c>
      <c r="B427" s="169">
        <f t="shared" si="55"/>
        <v>58501</v>
      </c>
      <c r="C427" s="170">
        <f t="shared" si="54"/>
        <v>0</v>
      </c>
      <c r="D427" s="170">
        <f t="shared" si="62"/>
        <v>2460.4526655071218</v>
      </c>
      <c r="E427" s="171">
        <f t="shared" si="56"/>
        <v>0</v>
      </c>
      <c r="F427" s="170">
        <f t="shared" si="57"/>
        <v>0</v>
      </c>
      <c r="G427" s="170">
        <f t="shared" si="60"/>
        <v>0</v>
      </c>
      <c r="H427" s="170">
        <f t="shared" si="61"/>
        <v>0</v>
      </c>
      <c r="I427" s="170">
        <f t="shared" si="58"/>
        <v>0</v>
      </c>
      <c r="J427" s="170">
        <f>SUM($H$18:$H427)</f>
        <v>45254.319860854652</v>
      </c>
    </row>
    <row r="428" spans="1:10" x14ac:dyDescent="0.3">
      <c r="A428" s="168">
        <f t="shared" si="59"/>
        <v>411</v>
      </c>
      <c r="B428" s="169">
        <f t="shared" si="55"/>
        <v>58532</v>
      </c>
      <c r="C428" s="170">
        <f t="shared" si="54"/>
        <v>0</v>
      </c>
      <c r="D428" s="170">
        <f t="shared" si="62"/>
        <v>2460.4526655071218</v>
      </c>
      <c r="E428" s="171">
        <f t="shared" si="56"/>
        <v>0</v>
      </c>
      <c r="F428" s="170">
        <f t="shared" si="57"/>
        <v>0</v>
      </c>
      <c r="G428" s="170">
        <f t="shared" si="60"/>
        <v>0</v>
      </c>
      <c r="H428" s="170">
        <f t="shared" si="61"/>
        <v>0</v>
      </c>
      <c r="I428" s="170">
        <f t="shared" si="58"/>
        <v>0</v>
      </c>
      <c r="J428" s="170">
        <f>SUM($H$18:$H428)</f>
        <v>45254.319860854652</v>
      </c>
    </row>
    <row r="429" spans="1:10" x14ac:dyDescent="0.3">
      <c r="A429" s="168">
        <f t="shared" si="59"/>
        <v>412</v>
      </c>
      <c r="B429" s="169">
        <f t="shared" si="55"/>
        <v>58562</v>
      </c>
      <c r="C429" s="170">
        <f t="shared" si="54"/>
        <v>0</v>
      </c>
      <c r="D429" s="170">
        <f t="shared" si="62"/>
        <v>2460.4526655071218</v>
      </c>
      <c r="E429" s="171">
        <f t="shared" si="56"/>
        <v>0</v>
      </c>
      <c r="F429" s="170">
        <f t="shared" si="57"/>
        <v>0</v>
      </c>
      <c r="G429" s="170">
        <f t="shared" si="60"/>
        <v>0</v>
      </c>
      <c r="H429" s="170">
        <f t="shared" si="61"/>
        <v>0</v>
      </c>
      <c r="I429" s="170">
        <f t="shared" si="58"/>
        <v>0</v>
      </c>
      <c r="J429" s="170">
        <f>SUM($H$18:$H429)</f>
        <v>45254.319860854652</v>
      </c>
    </row>
    <row r="430" spans="1:10" x14ac:dyDescent="0.3">
      <c r="A430" s="168">
        <f t="shared" si="59"/>
        <v>413</v>
      </c>
      <c r="B430" s="169">
        <f t="shared" si="55"/>
        <v>58593</v>
      </c>
      <c r="C430" s="170">
        <f t="shared" si="54"/>
        <v>0</v>
      </c>
      <c r="D430" s="170">
        <f t="shared" si="62"/>
        <v>2460.4526655071218</v>
      </c>
      <c r="E430" s="171">
        <f t="shared" si="56"/>
        <v>0</v>
      </c>
      <c r="F430" s="170">
        <f t="shared" si="57"/>
        <v>0</v>
      </c>
      <c r="G430" s="170">
        <f t="shared" si="60"/>
        <v>0</v>
      </c>
      <c r="H430" s="170">
        <f t="shared" si="61"/>
        <v>0</v>
      </c>
      <c r="I430" s="170">
        <f t="shared" si="58"/>
        <v>0</v>
      </c>
      <c r="J430" s="170">
        <f>SUM($H$18:$H430)</f>
        <v>45254.319860854652</v>
      </c>
    </row>
    <row r="431" spans="1:10" x14ac:dyDescent="0.3">
      <c r="A431" s="168">
        <f t="shared" si="59"/>
        <v>414</v>
      </c>
      <c r="B431" s="169">
        <f t="shared" si="55"/>
        <v>58623</v>
      </c>
      <c r="C431" s="170">
        <f t="shared" si="54"/>
        <v>0</v>
      </c>
      <c r="D431" s="170">
        <f t="shared" si="62"/>
        <v>2460.4526655071218</v>
      </c>
      <c r="E431" s="171">
        <f t="shared" si="56"/>
        <v>0</v>
      </c>
      <c r="F431" s="170">
        <f t="shared" si="57"/>
        <v>0</v>
      </c>
      <c r="G431" s="170">
        <f t="shared" si="60"/>
        <v>0</v>
      </c>
      <c r="H431" s="170">
        <f t="shared" si="61"/>
        <v>0</v>
      </c>
      <c r="I431" s="170">
        <f t="shared" si="58"/>
        <v>0</v>
      </c>
      <c r="J431" s="170">
        <f>SUM($H$18:$H431)</f>
        <v>45254.319860854652</v>
      </c>
    </row>
    <row r="432" spans="1:10" x14ac:dyDescent="0.3">
      <c r="A432" s="168">
        <f t="shared" si="59"/>
        <v>415</v>
      </c>
      <c r="B432" s="169">
        <f t="shared" si="55"/>
        <v>58654</v>
      </c>
      <c r="C432" s="170">
        <f t="shared" si="54"/>
        <v>0</v>
      </c>
      <c r="D432" s="170">
        <f t="shared" si="62"/>
        <v>2460.4526655071218</v>
      </c>
      <c r="E432" s="171">
        <f t="shared" si="56"/>
        <v>0</v>
      </c>
      <c r="F432" s="170">
        <f t="shared" si="57"/>
        <v>0</v>
      </c>
      <c r="G432" s="170">
        <f t="shared" si="60"/>
        <v>0</v>
      </c>
      <c r="H432" s="170">
        <f t="shared" si="61"/>
        <v>0</v>
      </c>
      <c r="I432" s="170">
        <f t="shared" si="58"/>
        <v>0</v>
      </c>
      <c r="J432" s="170">
        <f>SUM($H$18:$H432)</f>
        <v>45254.319860854652</v>
      </c>
    </row>
    <row r="433" spans="1:10" x14ac:dyDescent="0.3">
      <c r="A433" s="168">
        <f t="shared" si="59"/>
        <v>416</v>
      </c>
      <c r="B433" s="169">
        <f t="shared" si="55"/>
        <v>58685</v>
      </c>
      <c r="C433" s="170">
        <f t="shared" si="54"/>
        <v>0</v>
      </c>
      <c r="D433" s="170">
        <f t="shared" si="62"/>
        <v>2460.4526655071218</v>
      </c>
      <c r="E433" s="171">
        <f t="shared" si="56"/>
        <v>0</v>
      </c>
      <c r="F433" s="170">
        <f t="shared" si="57"/>
        <v>0</v>
      </c>
      <c r="G433" s="170">
        <f t="shared" si="60"/>
        <v>0</v>
      </c>
      <c r="H433" s="170">
        <f t="shared" si="61"/>
        <v>0</v>
      </c>
      <c r="I433" s="170">
        <f t="shared" si="58"/>
        <v>0</v>
      </c>
      <c r="J433" s="170">
        <f>SUM($H$18:$H433)</f>
        <v>45254.319860854652</v>
      </c>
    </row>
    <row r="434" spans="1:10" x14ac:dyDescent="0.3">
      <c r="A434" s="168">
        <f t="shared" si="59"/>
        <v>417</v>
      </c>
      <c r="B434" s="169">
        <f t="shared" si="55"/>
        <v>58715</v>
      </c>
      <c r="C434" s="170">
        <f t="shared" si="54"/>
        <v>0</v>
      </c>
      <c r="D434" s="170">
        <f t="shared" si="62"/>
        <v>2460.4526655071218</v>
      </c>
      <c r="E434" s="171">
        <f t="shared" si="56"/>
        <v>0</v>
      </c>
      <c r="F434" s="170">
        <f t="shared" si="57"/>
        <v>0</v>
      </c>
      <c r="G434" s="170">
        <f t="shared" si="60"/>
        <v>0</v>
      </c>
      <c r="H434" s="170">
        <f t="shared" si="61"/>
        <v>0</v>
      </c>
      <c r="I434" s="170">
        <f t="shared" si="58"/>
        <v>0</v>
      </c>
      <c r="J434" s="170">
        <f>SUM($H$18:$H434)</f>
        <v>45254.319860854652</v>
      </c>
    </row>
    <row r="435" spans="1:10" x14ac:dyDescent="0.3">
      <c r="A435" s="168">
        <f t="shared" si="59"/>
        <v>418</v>
      </c>
      <c r="B435" s="169">
        <f t="shared" si="55"/>
        <v>58746</v>
      </c>
      <c r="C435" s="170">
        <f t="shared" si="54"/>
        <v>0</v>
      </c>
      <c r="D435" s="170">
        <f t="shared" si="62"/>
        <v>2460.4526655071218</v>
      </c>
      <c r="E435" s="171">
        <f t="shared" si="56"/>
        <v>0</v>
      </c>
      <c r="F435" s="170">
        <f t="shared" si="57"/>
        <v>0</v>
      </c>
      <c r="G435" s="170">
        <f t="shared" si="60"/>
        <v>0</v>
      </c>
      <c r="H435" s="170">
        <f t="shared" si="61"/>
        <v>0</v>
      </c>
      <c r="I435" s="170">
        <f t="shared" si="58"/>
        <v>0</v>
      </c>
      <c r="J435" s="170">
        <f>SUM($H$18:$H435)</f>
        <v>45254.319860854652</v>
      </c>
    </row>
    <row r="436" spans="1:10" x14ac:dyDescent="0.3">
      <c r="A436" s="168">
        <f t="shared" si="59"/>
        <v>419</v>
      </c>
      <c r="B436" s="169">
        <f t="shared" si="55"/>
        <v>58776</v>
      </c>
      <c r="C436" s="170">
        <f t="shared" si="54"/>
        <v>0</v>
      </c>
      <c r="D436" s="170">
        <f t="shared" si="62"/>
        <v>2460.4526655071218</v>
      </c>
      <c r="E436" s="171">
        <f t="shared" si="56"/>
        <v>0</v>
      </c>
      <c r="F436" s="170">
        <f t="shared" si="57"/>
        <v>0</v>
      </c>
      <c r="G436" s="170">
        <f t="shared" si="60"/>
        <v>0</v>
      </c>
      <c r="H436" s="170">
        <f t="shared" si="61"/>
        <v>0</v>
      </c>
      <c r="I436" s="170">
        <f t="shared" si="58"/>
        <v>0</v>
      </c>
      <c r="J436" s="170">
        <f>SUM($H$18:$H436)</f>
        <v>45254.319860854652</v>
      </c>
    </row>
    <row r="437" spans="1:10" x14ac:dyDescent="0.3">
      <c r="A437" s="168">
        <f t="shared" si="59"/>
        <v>420</v>
      </c>
      <c r="B437" s="169">
        <f t="shared" si="55"/>
        <v>58807</v>
      </c>
      <c r="C437" s="170">
        <f t="shared" si="54"/>
        <v>0</v>
      </c>
      <c r="D437" s="170">
        <f t="shared" si="62"/>
        <v>2460.4526655071218</v>
      </c>
      <c r="E437" s="171">
        <f t="shared" si="56"/>
        <v>0</v>
      </c>
      <c r="F437" s="170">
        <f t="shared" si="57"/>
        <v>0</v>
      </c>
      <c r="G437" s="170">
        <f t="shared" si="60"/>
        <v>0</v>
      </c>
      <c r="H437" s="170">
        <f t="shared" si="61"/>
        <v>0</v>
      </c>
      <c r="I437" s="170">
        <f t="shared" si="58"/>
        <v>0</v>
      </c>
      <c r="J437" s="170">
        <f>SUM($H$18:$H437)</f>
        <v>45254.319860854652</v>
      </c>
    </row>
    <row r="438" spans="1:10" x14ac:dyDescent="0.3">
      <c r="A438" s="168">
        <f t="shared" si="59"/>
        <v>421</v>
      </c>
      <c r="B438" s="169">
        <f t="shared" si="55"/>
        <v>58838</v>
      </c>
      <c r="C438" s="170">
        <f t="shared" si="54"/>
        <v>0</v>
      </c>
      <c r="D438" s="170">
        <f t="shared" si="62"/>
        <v>2460.4526655071218</v>
      </c>
      <c r="E438" s="171">
        <f t="shared" si="56"/>
        <v>0</v>
      </c>
      <c r="F438" s="170">
        <f t="shared" si="57"/>
        <v>0</v>
      </c>
      <c r="G438" s="170">
        <f t="shared" si="60"/>
        <v>0</v>
      </c>
      <c r="H438" s="170">
        <f t="shared" si="61"/>
        <v>0</v>
      </c>
      <c r="I438" s="170">
        <f t="shared" si="58"/>
        <v>0</v>
      </c>
      <c r="J438" s="170">
        <f>SUM($H$18:$H438)</f>
        <v>45254.319860854652</v>
      </c>
    </row>
    <row r="439" spans="1:10" x14ac:dyDescent="0.3">
      <c r="A439" s="168">
        <f t="shared" si="59"/>
        <v>422</v>
      </c>
      <c r="B439" s="169">
        <f t="shared" si="55"/>
        <v>58866</v>
      </c>
      <c r="C439" s="170">
        <f t="shared" si="54"/>
        <v>0</v>
      </c>
      <c r="D439" s="170">
        <f t="shared" si="62"/>
        <v>2460.4526655071218</v>
      </c>
      <c r="E439" s="171">
        <f t="shared" si="56"/>
        <v>0</v>
      </c>
      <c r="F439" s="170">
        <f t="shared" si="57"/>
        <v>0</v>
      </c>
      <c r="G439" s="170">
        <f t="shared" si="60"/>
        <v>0</v>
      </c>
      <c r="H439" s="170">
        <f t="shared" si="61"/>
        <v>0</v>
      </c>
      <c r="I439" s="170">
        <f t="shared" si="58"/>
        <v>0</v>
      </c>
      <c r="J439" s="170">
        <f>SUM($H$18:$H439)</f>
        <v>45254.319860854652</v>
      </c>
    </row>
    <row r="440" spans="1:10" x14ac:dyDescent="0.3">
      <c r="A440" s="168">
        <f t="shared" si="59"/>
        <v>423</v>
      </c>
      <c r="B440" s="169">
        <f t="shared" si="55"/>
        <v>58897</v>
      </c>
      <c r="C440" s="170">
        <f t="shared" si="54"/>
        <v>0</v>
      </c>
      <c r="D440" s="170">
        <f t="shared" si="62"/>
        <v>2460.4526655071218</v>
      </c>
      <c r="E440" s="171">
        <f t="shared" si="56"/>
        <v>0</v>
      </c>
      <c r="F440" s="170">
        <f t="shared" si="57"/>
        <v>0</v>
      </c>
      <c r="G440" s="170">
        <f t="shared" si="60"/>
        <v>0</v>
      </c>
      <c r="H440" s="170">
        <f t="shared" si="61"/>
        <v>0</v>
      </c>
      <c r="I440" s="170">
        <f t="shared" si="58"/>
        <v>0</v>
      </c>
      <c r="J440" s="170">
        <f>SUM($H$18:$H440)</f>
        <v>45254.319860854652</v>
      </c>
    </row>
    <row r="441" spans="1:10" x14ac:dyDescent="0.3">
      <c r="A441" s="168">
        <f t="shared" si="59"/>
        <v>424</v>
      </c>
      <c r="B441" s="169">
        <f t="shared" si="55"/>
        <v>58927</v>
      </c>
      <c r="C441" s="170">
        <f t="shared" ref="C441:C497" si="63">IF(Nbre_Pmt&lt;&gt;"",I440,"")</f>
        <v>0</v>
      </c>
      <c r="D441" s="170">
        <f t="shared" si="62"/>
        <v>2460.4526655071218</v>
      </c>
      <c r="E441" s="171">
        <f t="shared" si="56"/>
        <v>0</v>
      </c>
      <c r="F441" s="170">
        <f t="shared" si="57"/>
        <v>0</v>
      </c>
      <c r="G441" s="170">
        <f t="shared" si="60"/>
        <v>0</v>
      </c>
      <c r="H441" s="170">
        <f t="shared" si="61"/>
        <v>0</v>
      </c>
      <c r="I441" s="170">
        <f t="shared" si="58"/>
        <v>0</v>
      </c>
      <c r="J441" s="170">
        <f>SUM($H$18:$H441)</f>
        <v>45254.319860854652</v>
      </c>
    </row>
    <row r="442" spans="1:10" x14ac:dyDescent="0.3">
      <c r="A442" s="168">
        <f t="shared" si="59"/>
        <v>425</v>
      </c>
      <c r="B442" s="169">
        <f t="shared" si="55"/>
        <v>58958</v>
      </c>
      <c r="C442" s="170">
        <f t="shared" si="63"/>
        <v>0</v>
      </c>
      <c r="D442" s="170">
        <f t="shared" si="62"/>
        <v>2460.4526655071218</v>
      </c>
      <c r="E442" s="171">
        <f t="shared" si="56"/>
        <v>0</v>
      </c>
      <c r="F442" s="170">
        <f t="shared" si="57"/>
        <v>0</v>
      </c>
      <c r="G442" s="170">
        <f t="shared" si="60"/>
        <v>0</v>
      </c>
      <c r="H442" s="170">
        <f t="shared" si="61"/>
        <v>0</v>
      </c>
      <c r="I442" s="170">
        <f t="shared" si="58"/>
        <v>0</v>
      </c>
      <c r="J442" s="170">
        <f>SUM($H$18:$H442)</f>
        <v>45254.319860854652</v>
      </c>
    </row>
    <row r="443" spans="1:10" x14ac:dyDescent="0.3">
      <c r="A443" s="168">
        <f t="shared" si="59"/>
        <v>426</v>
      </c>
      <c r="B443" s="169">
        <f t="shared" si="55"/>
        <v>58988</v>
      </c>
      <c r="C443" s="170">
        <f t="shared" si="63"/>
        <v>0</v>
      </c>
      <c r="D443" s="170">
        <f t="shared" si="62"/>
        <v>2460.4526655071218</v>
      </c>
      <c r="E443" s="171">
        <f t="shared" si="56"/>
        <v>0</v>
      </c>
      <c r="F443" s="170">
        <f t="shared" si="57"/>
        <v>0</v>
      </c>
      <c r="G443" s="170">
        <f t="shared" si="60"/>
        <v>0</v>
      </c>
      <c r="H443" s="170">
        <f t="shared" si="61"/>
        <v>0</v>
      </c>
      <c r="I443" s="170">
        <f t="shared" si="58"/>
        <v>0</v>
      </c>
      <c r="J443" s="170">
        <f>SUM($H$18:$H443)</f>
        <v>45254.319860854652</v>
      </c>
    </row>
    <row r="444" spans="1:10" x14ac:dyDescent="0.3">
      <c r="A444" s="168">
        <f t="shared" si="59"/>
        <v>427</v>
      </c>
      <c r="B444" s="169">
        <f t="shared" si="55"/>
        <v>59019</v>
      </c>
      <c r="C444" s="170">
        <f t="shared" si="63"/>
        <v>0</v>
      </c>
      <c r="D444" s="170">
        <f t="shared" si="62"/>
        <v>2460.4526655071218</v>
      </c>
      <c r="E444" s="171">
        <f t="shared" si="56"/>
        <v>0</v>
      </c>
      <c r="F444" s="170">
        <f t="shared" si="57"/>
        <v>0</v>
      </c>
      <c r="G444" s="170">
        <f t="shared" si="60"/>
        <v>0</v>
      </c>
      <c r="H444" s="170">
        <f t="shared" si="61"/>
        <v>0</v>
      </c>
      <c r="I444" s="170">
        <f t="shared" si="58"/>
        <v>0</v>
      </c>
      <c r="J444" s="170">
        <f>SUM($H$18:$H444)</f>
        <v>45254.319860854652</v>
      </c>
    </row>
    <row r="445" spans="1:10" x14ac:dyDescent="0.3">
      <c r="A445" s="168">
        <f t="shared" si="59"/>
        <v>428</v>
      </c>
      <c r="B445" s="169">
        <f t="shared" si="55"/>
        <v>59050</v>
      </c>
      <c r="C445" s="170">
        <f t="shared" si="63"/>
        <v>0</v>
      </c>
      <c r="D445" s="170">
        <f t="shared" si="62"/>
        <v>2460.4526655071218</v>
      </c>
      <c r="E445" s="171">
        <f t="shared" si="56"/>
        <v>0</v>
      </c>
      <c r="F445" s="170">
        <f t="shared" si="57"/>
        <v>0</v>
      </c>
      <c r="G445" s="170">
        <f t="shared" si="60"/>
        <v>0</v>
      </c>
      <c r="H445" s="170">
        <f t="shared" si="61"/>
        <v>0</v>
      </c>
      <c r="I445" s="170">
        <f t="shared" si="58"/>
        <v>0</v>
      </c>
      <c r="J445" s="170">
        <f>SUM($H$18:$H445)</f>
        <v>45254.319860854652</v>
      </c>
    </row>
    <row r="446" spans="1:10" x14ac:dyDescent="0.3">
      <c r="A446" s="168">
        <f t="shared" si="59"/>
        <v>429</v>
      </c>
      <c r="B446" s="169">
        <f t="shared" si="55"/>
        <v>59080</v>
      </c>
      <c r="C446" s="170">
        <f t="shared" si="63"/>
        <v>0</v>
      </c>
      <c r="D446" s="170">
        <f t="shared" si="62"/>
        <v>2460.4526655071218</v>
      </c>
      <c r="E446" s="171">
        <f t="shared" si="56"/>
        <v>0</v>
      </c>
      <c r="F446" s="170">
        <f t="shared" si="57"/>
        <v>0</v>
      </c>
      <c r="G446" s="170">
        <f t="shared" si="60"/>
        <v>0</v>
      </c>
      <c r="H446" s="170">
        <f t="shared" si="61"/>
        <v>0</v>
      </c>
      <c r="I446" s="170">
        <f t="shared" si="58"/>
        <v>0</v>
      </c>
      <c r="J446" s="170">
        <f>SUM($H$18:$H446)</f>
        <v>45254.319860854652</v>
      </c>
    </row>
    <row r="447" spans="1:10" x14ac:dyDescent="0.3">
      <c r="A447" s="168">
        <f t="shared" si="59"/>
        <v>430</v>
      </c>
      <c r="B447" s="169">
        <f t="shared" si="55"/>
        <v>59111</v>
      </c>
      <c r="C447" s="170">
        <f t="shared" si="63"/>
        <v>0</v>
      </c>
      <c r="D447" s="170">
        <f t="shared" si="62"/>
        <v>2460.4526655071218</v>
      </c>
      <c r="E447" s="171">
        <f t="shared" si="56"/>
        <v>0</v>
      </c>
      <c r="F447" s="170">
        <f t="shared" si="57"/>
        <v>0</v>
      </c>
      <c r="G447" s="170">
        <f t="shared" si="60"/>
        <v>0</v>
      </c>
      <c r="H447" s="170">
        <f t="shared" si="61"/>
        <v>0</v>
      </c>
      <c r="I447" s="170">
        <f t="shared" si="58"/>
        <v>0</v>
      </c>
      <c r="J447" s="170">
        <f>SUM($H$18:$H447)</f>
        <v>45254.319860854652</v>
      </c>
    </row>
    <row r="448" spans="1:10" x14ac:dyDescent="0.3">
      <c r="A448" s="168">
        <f t="shared" si="59"/>
        <v>431</v>
      </c>
      <c r="B448" s="169">
        <f t="shared" si="55"/>
        <v>59141</v>
      </c>
      <c r="C448" s="170">
        <f t="shared" si="63"/>
        <v>0</v>
      </c>
      <c r="D448" s="170">
        <f t="shared" si="62"/>
        <v>2460.4526655071218</v>
      </c>
      <c r="E448" s="171">
        <f t="shared" si="56"/>
        <v>0</v>
      </c>
      <c r="F448" s="170">
        <f t="shared" si="57"/>
        <v>0</v>
      </c>
      <c r="G448" s="170">
        <f t="shared" si="60"/>
        <v>0</v>
      </c>
      <c r="H448" s="170">
        <f t="shared" si="61"/>
        <v>0</v>
      </c>
      <c r="I448" s="170">
        <f t="shared" si="58"/>
        <v>0</v>
      </c>
      <c r="J448" s="170">
        <f>SUM($H$18:$H448)</f>
        <v>45254.319860854652</v>
      </c>
    </row>
    <row r="449" spans="1:10" x14ac:dyDescent="0.3">
      <c r="A449" s="168">
        <f t="shared" si="59"/>
        <v>432</v>
      </c>
      <c r="B449" s="169">
        <f t="shared" si="55"/>
        <v>59172</v>
      </c>
      <c r="C449" s="170">
        <f t="shared" si="63"/>
        <v>0</v>
      </c>
      <c r="D449" s="170">
        <f t="shared" si="62"/>
        <v>2460.4526655071218</v>
      </c>
      <c r="E449" s="171">
        <f t="shared" si="56"/>
        <v>0</v>
      </c>
      <c r="F449" s="170">
        <f t="shared" si="57"/>
        <v>0</v>
      </c>
      <c r="G449" s="170">
        <f t="shared" si="60"/>
        <v>0</v>
      </c>
      <c r="H449" s="170">
        <f t="shared" si="61"/>
        <v>0</v>
      </c>
      <c r="I449" s="170">
        <f t="shared" si="58"/>
        <v>0</v>
      </c>
      <c r="J449" s="170">
        <f>SUM($H$18:$H449)</f>
        <v>45254.319860854652</v>
      </c>
    </row>
    <row r="450" spans="1:10" x14ac:dyDescent="0.3">
      <c r="A450" s="168">
        <f t="shared" si="59"/>
        <v>433</v>
      </c>
      <c r="B450" s="169">
        <f t="shared" si="55"/>
        <v>59203</v>
      </c>
      <c r="C450" s="170">
        <f t="shared" si="63"/>
        <v>0</v>
      </c>
      <c r="D450" s="170">
        <f t="shared" si="62"/>
        <v>2460.4526655071218</v>
      </c>
      <c r="E450" s="171">
        <f t="shared" si="56"/>
        <v>0</v>
      </c>
      <c r="F450" s="170">
        <f t="shared" si="57"/>
        <v>0</v>
      </c>
      <c r="G450" s="170">
        <f t="shared" si="60"/>
        <v>0</v>
      </c>
      <c r="H450" s="170">
        <f t="shared" si="61"/>
        <v>0</v>
      </c>
      <c r="I450" s="170">
        <f t="shared" si="58"/>
        <v>0</v>
      </c>
      <c r="J450" s="170">
        <f>SUM($H$18:$H450)</f>
        <v>45254.319860854652</v>
      </c>
    </row>
    <row r="451" spans="1:10" x14ac:dyDescent="0.3">
      <c r="A451" s="168">
        <f t="shared" si="59"/>
        <v>434</v>
      </c>
      <c r="B451" s="169">
        <f t="shared" si="55"/>
        <v>59231</v>
      </c>
      <c r="C451" s="170">
        <f t="shared" si="63"/>
        <v>0</v>
      </c>
      <c r="D451" s="170">
        <f t="shared" si="62"/>
        <v>2460.4526655071218</v>
      </c>
      <c r="E451" s="171">
        <f t="shared" si="56"/>
        <v>0</v>
      </c>
      <c r="F451" s="170">
        <f t="shared" si="57"/>
        <v>0</v>
      </c>
      <c r="G451" s="170">
        <f t="shared" si="60"/>
        <v>0</v>
      </c>
      <c r="H451" s="170">
        <f t="shared" si="61"/>
        <v>0</v>
      </c>
      <c r="I451" s="170">
        <f t="shared" si="58"/>
        <v>0</v>
      </c>
      <c r="J451" s="170">
        <f>SUM($H$18:$H451)</f>
        <v>45254.319860854652</v>
      </c>
    </row>
    <row r="452" spans="1:10" x14ac:dyDescent="0.3">
      <c r="A452" s="168">
        <f t="shared" si="59"/>
        <v>435</v>
      </c>
      <c r="B452" s="169">
        <f t="shared" si="55"/>
        <v>59262</v>
      </c>
      <c r="C452" s="170">
        <f t="shared" si="63"/>
        <v>0</v>
      </c>
      <c r="D452" s="170">
        <f t="shared" si="62"/>
        <v>2460.4526655071218</v>
      </c>
      <c r="E452" s="171">
        <f t="shared" si="56"/>
        <v>0</v>
      </c>
      <c r="F452" s="170">
        <f t="shared" si="57"/>
        <v>0</v>
      </c>
      <c r="G452" s="170">
        <f t="shared" si="60"/>
        <v>0</v>
      </c>
      <c r="H452" s="170">
        <f t="shared" si="61"/>
        <v>0</v>
      </c>
      <c r="I452" s="170">
        <f t="shared" si="58"/>
        <v>0</v>
      </c>
      <c r="J452" s="170">
        <f>SUM($H$18:$H452)</f>
        <v>45254.319860854652</v>
      </c>
    </row>
    <row r="453" spans="1:10" x14ac:dyDescent="0.3">
      <c r="A453" s="168">
        <f t="shared" si="59"/>
        <v>436</v>
      </c>
      <c r="B453" s="169">
        <f t="shared" si="55"/>
        <v>59292</v>
      </c>
      <c r="C453" s="170">
        <f t="shared" si="63"/>
        <v>0</v>
      </c>
      <c r="D453" s="170">
        <f t="shared" si="62"/>
        <v>2460.4526655071218</v>
      </c>
      <c r="E453" s="171">
        <f t="shared" si="56"/>
        <v>0</v>
      </c>
      <c r="F453" s="170">
        <f t="shared" si="57"/>
        <v>0</v>
      </c>
      <c r="G453" s="170">
        <f t="shared" si="60"/>
        <v>0</v>
      </c>
      <c r="H453" s="170">
        <f t="shared" si="61"/>
        <v>0</v>
      </c>
      <c r="I453" s="170">
        <f t="shared" si="58"/>
        <v>0</v>
      </c>
      <c r="J453" s="170">
        <f>SUM($H$18:$H453)</f>
        <v>45254.319860854652</v>
      </c>
    </row>
    <row r="454" spans="1:10" x14ac:dyDescent="0.3">
      <c r="A454" s="168">
        <f t="shared" si="59"/>
        <v>437</v>
      </c>
      <c r="B454" s="169">
        <f t="shared" si="55"/>
        <v>59323</v>
      </c>
      <c r="C454" s="170">
        <f t="shared" si="63"/>
        <v>0</v>
      </c>
      <c r="D454" s="170">
        <f t="shared" si="62"/>
        <v>2460.4526655071218</v>
      </c>
      <c r="E454" s="171">
        <f t="shared" si="56"/>
        <v>0</v>
      </c>
      <c r="F454" s="170">
        <f t="shared" si="57"/>
        <v>0</v>
      </c>
      <c r="G454" s="170">
        <f t="shared" si="60"/>
        <v>0</v>
      </c>
      <c r="H454" s="170">
        <f t="shared" si="61"/>
        <v>0</v>
      </c>
      <c r="I454" s="170">
        <f t="shared" si="58"/>
        <v>0</v>
      </c>
      <c r="J454" s="170">
        <f>SUM($H$18:$H454)</f>
        <v>45254.319860854652</v>
      </c>
    </row>
    <row r="455" spans="1:10" x14ac:dyDescent="0.3">
      <c r="A455" s="168">
        <f t="shared" si="59"/>
        <v>438</v>
      </c>
      <c r="B455" s="169">
        <f t="shared" si="55"/>
        <v>59353</v>
      </c>
      <c r="C455" s="170">
        <f t="shared" si="63"/>
        <v>0</v>
      </c>
      <c r="D455" s="170">
        <f t="shared" si="62"/>
        <v>2460.4526655071218</v>
      </c>
      <c r="E455" s="171">
        <f t="shared" si="56"/>
        <v>0</v>
      </c>
      <c r="F455" s="170">
        <f t="shared" si="57"/>
        <v>0</v>
      </c>
      <c r="G455" s="170">
        <f t="shared" si="60"/>
        <v>0</v>
      </c>
      <c r="H455" s="170">
        <f t="shared" si="61"/>
        <v>0</v>
      </c>
      <c r="I455" s="170">
        <f t="shared" si="58"/>
        <v>0</v>
      </c>
      <c r="J455" s="170">
        <f>SUM($H$18:$H455)</f>
        <v>45254.319860854652</v>
      </c>
    </row>
    <row r="456" spans="1:10" x14ac:dyDescent="0.3">
      <c r="A456" s="168">
        <f t="shared" si="59"/>
        <v>439</v>
      </c>
      <c r="B456" s="169">
        <f t="shared" si="55"/>
        <v>59384</v>
      </c>
      <c r="C456" s="170">
        <f t="shared" si="63"/>
        <v>0</v>
      </c>
      <c r="D456" s="170">
        <f t="shared" si="62"/>
        <v>2460.4526655071218</v>
      </c>
      <c r="E456" s="171">
        <f t="shared" si="56"/>
        <v>0</v>
      </c>
      <c r="F456" s="170">
        <f t="shared" si="57"/>
        <v>0</v>
      </c>
      <c r="G456" s="170">
        <f t="shared" si="60"/>
        <v>0</v>
      </c>
      <c r="H456" s="170">
        <f t="shared" si="61"/>
        <v>0</v>
      </c>
      <c r="I456" s="170">
        <f t="shared" si="58"/>
        <v>0</v>
      </c>
      <c r="J456" s="170">
        <f>SUM($H$18:$H456)</f>
        <v>45254.319860854652</v>
      </c>
    </row>
    <row r="457" spans="1:10" x14ac:dyDescent="0.3">
      <c r="A457" s="168">
        <f t="shared" si="59"/>
        <v>440</v>
      </c>
      <c r="B457" s="169">
        <f t="shared" si="55"/>
        <v>59415</v>
      </c>
      <c r="C457" s="170">
        <f t="shared" si="63"/>
        <v>0</v>
      </c>
      <c r="D457" s="170">
        <f t="shared" si="62"/>
        <v>2460.4526655071218</v>
      </c>
      <c r="E457" s="171">
        <f t="shared" si="56"/>
        <v>0</v>
      </c>
      <c r="F457" s="170">
        <f t="shared" si="57"/>
        <v>0</v>
      </c>
      <c r="G457" s="170">
        <f t="shared" si="60"/>
        <v>0</v>
      </c>
      <c r="H457" s="170">
        <f t="shared" si="61"/>
        <v>0</v>
      </c>
      <c r="I457" s="170">
        <f t="shared" si="58"/>
        <v>0</v>
      </c>
      <c r="J457" s="170">
        <f>SUM($H$18:$H457)</f>
        <v>45254.319860854652</v>
      </c>
    </row>
    <row r="458" spans="1:10" x14ac:dyDescent="0.3">
      <c r="A458" s="168">
        <f t="shared" si="59"/>
        <v>441</v>
      </c>
      <c r="B458" s="169">
        <f t="shared" si="55"/>
        <v>59445</v>
      </c>
      <c r="C458" s="170">
        <f t="shared" si="63"/>
        <v>0</v>
      </c>
      <c r="D458" s="170">
        <f t="shared" si="62"/>
        <v>2460.4526655071218</v>
      </c>
      <c r="E458" s="171">
        <f t="shared" si="56"/>
        <v>0</v>
      </c>
      <c r="F458" s="170">
        <f t="shared" si="57"/>
        <v>0</v>
      </c>
      <c r="G458" s="170">
        <f t="shared" si="60"/>
        <v>0</v>
      </c>
      <c r="H458" s="170">
        <f t="shared" si="61"/>
        <v>0</v>
      </c>
      <c r="I458" s="170">
        <f t="shared" si="58"/>
        <v>0</v>
      </c>
      <c r="J458" s="170">
        <f>SUM($H$18:$H458)</f>
        <v>45254.319860854652</v>
      </c>
    </row>
    <row r="459" spans="1:10" x14ac:dyDescent="0.3">
      <c r="A459" s="168">
        <f t="shared" si="59"/>
        <v>442</v>
      </c>
      <c r="B459" s="169">
        <f t="shared" si="55"/>
        <v>59476</v>
      </c>
      <c r="C459" s="170">
        <f t="shared" si="63"/>
        <v>0</v>
      </c>
      <c r="D459" s="170">
        <f t="shared" si="62"/>
        <v>2460.4526655071218</v>
      </c>
      <c r="E459" s="171">
        <f t="shared" si="56"/>
        <v>0</v>
      </c>
      <c r="F459" s="170">
        <f t="shared" si="57"/>
        <v>0</v>
      </c>
      <c r="G459" s="170">
        <f t="shared" si="60"/>
        <v>0</v>
      </c>
      <c r="H459" s="170">
        <f t="shared" si="61"/>
        <v>0</v>
      </c>
      <c r="I459" s="170">
        <f t="shared" si="58"/>
        <v>0</v>
      </c>
      <c r="J459" s="170">
        <f>SUM($H$18:$H459)</f>
        <v>45254.319860854652</v>
      </c>
    </row>
    <row r="460" spans="1:10" x14ac:dyDescent="0.3">
      <c r="A460" s="168">
        <f t="shared" si="59"/>
        <v>443</v>
      </c>
      <c r="B460" s="169">
        <f t="shared" si="55"/>
        <v>59506</v>
      </c>
      <c r="C460" s="170">
        <f t="shared" si="63"/>
        <v>0</v>
      </c>
      <c r="D460" s="170">
        <f t="shared" si="62"/>
        <v>2460.4526655071218</v>
      </c>
      <c r="E460" s="171">
        <f t="shared" si="56"/>
        <v>0</v>
      </c>
      <c r="F460" s="170">
        <f t="shared" si="57"/>
        <v>0</v>
      </c>
      <c r="G460" s="170">
        <f t="shared" si="60"/>
        <v>0</v>
      </c>
      <c r="H460" s="170">
        <f t="shared" si="61"/>
        <v>0</v>
      </c>
      <c r="I460" s="170">
        <f t="shared" si="58"/>
        <v>0</v>
      </c>
      <c r="J460" s="170">
        <f>SUM($H$18:$H460)</f>
        <v>45254.319860854652</v>
      </c>
    </row>
    <row r="461" spans="1:10" x14ac:dyDescent="0.3">
      <c r="A461" s="168">
        <f t="shared" si="59"/>
        <v>444</v>
      </c>
      <c r="B461" s="169">
        <f t="shared" si="55"/>
        <v>59537</v>
      </c>
      <c r="C461" s="170">
        <f t="shared" si="63"/>
        <v>0</v>
      </c>
      <c r="D461" s="170">
        <f t="shared" si="62"/>
        <v>2460.4526655071218</v>
      </c>
      <c r="E461" s="171">
        <f t="shared" si="56"/>
        <v>0</v>
      </c>
      <c r="F461" s="170">
        <f t="shared" si="57"/>
        <v>0</v>
      </c>
      <c r="G461" s="170">
        <f t="shared" si="60"/>
        <v>0</v>
      </c>
      <c r="H461" s="170">
        <f t="shared" si="61"/>
        <v>0</v>
      </c>
      <c r="I461" s="170">
        <f t="shared" si="58"/>
        <v>0</v>
      </c>
      <c r="J461" s="170">
        <f>SUM($H$18:$H461)</f>
        <v>45254.319860854652</v>
      </c>
    </row>
    <row r="462" spans="1:10" x14ac:dyDescent="0.3">
      <c r="A462" s="168">
        <f t="shared" si="59"/>
        <v>445</v>
      </c>
      <c r="B462" s="169">
        <f t="shared" si="55"/>
        <v>59568</v>
      </c>
      <c r="C462" s="170">
        <f t="shared" si="63"/>
        <v>0</v>
      </c>
      <c r="D462" s="170">
        <f t="shared" si="62"/>
        <v>2460.4526655071218</v>
      </c>
      <c r="E462" s="171">
        <f t="shared" si="56"/>
        <v>0</v>
      </c>
      <c r="F462" s="170">
        <f t="shared" si="57"/>
        <v>0</v>
      </c>
      <c r="G462" s="170">
        <f t="shared" si="60"/>
        <v>0</v>
      </c>
      <c r="H462" s="170">
        <f t="shared" si="61"/>
        <v>0</v>
      </c>
      <c r="I462" s="170">
        <f t="shared" si="58"/>
        <v>0</v>
      </c>
      <c r="J462" s="170">
        <f>SUM($H$18:$H462)</f>
        <v>45254.319860854652</v>
      </c>
    </row>
    <row r="463" spans="1:10" x14ac:dyDescent="0.3">
      <c r="A463" s="168">
        <f t="shared" si="59"/>
        <v>446</v>
      </c>
      <c r="B463" s="169">
        <f t="shared" si="55"/>
        <v>59596</v>
      </c>
      <c r="C463" s="170">
        <f t="shared" si="63"/>
        <v>0</v>
      </c>
      <c r="D463" s="170">
        <f t="shared" si="62"/>
        <v>2460.4526655071218</v>
      </c>
      <c r="E463" s="171">
        <f t="shared" si="56"/>
        <v>0</v>
      </c>
      <c r="F463" s="170">
        <f t="shared" si="57"/>
        <v>0</v>
      </c>
      <c r="G463" s="170">
        <f t="shared" si="60"/>
        <v>0</v>
      </c>
      <c r="H463" s="170">
        <f t="shared" si="61"/>
        <v>0</v>
      </c>
      <c r="I463" s="170">
        <f t="shared" si="58"/>
        <v>0</v>
      </c>
      <c r="J463" s="170">
        <f>SUM($H$18:$H463)</f>
        <v>45254.319860854652</v>
      </c>
    </row>
    <row r="464" spans="1:10" x14ac:dyDescent="0.3">
      <c r="A464" s="168">
        <f t="shared" si="59"/>
        <v>447</v>
      </c>
      <c r="B464" s="169">
        <f t="shared" si="55"/>
        <v>59627</v>
      </c>
      <c r="C464" s="170">
        <f t="shared" si="63"/>
        <v>0</v>
      </c>
      <c r="D464" s="170">
        <f t="shared" si="62"/>
        <v>2460.4526655071218</v>
      </c>
      <c r="E464" s="171">
        <f t="shared" si="56"/>
        <v>0</v>
      </c>
      <c r="F464" s="170">
        <f t="shared" si="57"/>
        <v>0</v>
      </c>
      <c r="G464" s="170">
        <f t="shared" si="60"/>
        <v>0</v>
      </c>
      <c r="H464" s="170">
        <f t="shared" si="61"/>
        <v>0</v>
      </c>
      <c r="I464" s="170">
        <f t="shared" si="58"/>
        <v>0</v>
      </c>
      <c r="J464" s="170">
        <f>SUM($H$18:$H464)</f>
        <v>45254.319860854652</v>
      </c>
    </row>
    <row r="465" spans="1:10" x14ac:dyDescent="0.3">
      <c r="A465" s="168">
        <f t="shared" si="59"/>
        <v>448</v>
      </c>
      <c r="B465" s="169">
        <f t="shared" si="55"/>
        <v>59657</v>
      </c>
      <c r="C465" s="170">
        <f t="shared" si="63"/>
        <v>0</v>
      </c>
      <c r="D465" s="170">
        <f t="shared" si="62"/>
        <v>2460.4526655071218</v>
      </c>
      <c r="E465" s="171">
        <f t="shared" si="56"/>
        <v>0</v>
      </c>
      <c r="F465" s="170">
        <f t="shared" si="57"/>
        <v>0</v>
      </c>
      <c r="G465" s="170">
        <f t="shared" si="60"/>
        <v>0</v>
      </c>
      <c r="H465" s="170">
        <f t="shared" si="61"/>
        <v>0</v>
      </c>
      <c r="I465" s="170">
        <f t="shared" si="58"/>
        <v>0</v>
      </c>
      <c r="J465" s="170">
        <f>SUM($H$18:$H465)</f>
        <v>45254.319860854652</v>
      </c>
    </row>
    <row r="466" spans="1:10" x14ac:dyDescent="0.3">
      <c r="A466" s="168">
        <f t="shared" si="59"/>
        <v>449</v>
      </c>
      <c r="B466" s="169">
        <f t="shared" ref="B466:B497" si="64">IF(Nbre_Pmt&lt;&gt;"",DATE(YEAR(Début_Prêt),MONTH(Début_Prêt)+(Nbre_Pmt)*12/Nbre_Pmt_Par_An,DAY(Début_Prêt)),"")</f>
        <v>59688</v>
      </c>
      <c r="C466" s="170">
        <f t="shared" si="63"/>
        <v>0</v>
      </c>
      <c r="D466" s="170">
        <f t="shared" si="62"/>
        <v>2460.4526655071218</v>
      </c>
      <c r="E466" s="171">
        <f t="shared" ref="E466:E497" si="65">IF(AND(Nbre_Pmt&lt;&gt;"",Pmt_Programmé+Pmts_Supplémentaires_Programmés&lt;Solde_Départ),Pmts_Supplémentaires_Programmés,IF(AND(Nbre_Pmt&lt;&gt;"",Solde_Départ-Pmt_Programmé&gt;0),Solde_Départ-Pmt_Programmé,IF(Nbre_Pmt&lt;&gt;"",0,"")))</f>
        <v>0</v>
      </c>
      <c r="F466" s="170">
        <f t="shared" ref="F466:F497" si="66">IF(AND(Nbre_Pmt&lt;&gt;"",Pmt_Programmé+Pmt_Supplémentaire&lt;Solde_Départ),Pmt_Programmé+Pmt_Supplémentaire,IF(Nbre_Pmt&lt;&gt;"",Solde_Départ,""))</f>
        <v>0</v>
      </c>
      <c r="G466" s="170">
        <f t="shared" si="60"/>
        <v>0</v>
      </c>
      <c r="H466" s="170">
        <f t="shared" si="61"/>
        <v>0</v>
      </c>
      <c r="I466" s="170">
        <f t="shared" ref="I466:I497" si="67">IF(AND(Nbre_Pmt&lt;&gt;"",Pmt_Programmé+Pmt_Supplémentaire&lt;Solde_Départ),Solde_Départ-Princ,IF(Nbre_Pmt&lt;&gt;"",0,""))</f>
        <v>0</v>
      </c>
      <c r="J466" s="170">
        <f>SUM($H$18:$H466)</f>
        <v>45254.319860854652</v>
      </c>
    </row>
    <row r="467" spans="1:10" x14ac:dyDescent="0.3">
      <c r="A467" s="168">
        <f t="shared" ref="A467:A497" si="68">IF(Valeurs_Entrées,A466+1,"")</f>
        <v>450</v>
      </c>
      <c r="B467" s="169">
        <f t="shared" si="64"/>
        <v>59718</v>
      </c>
      <c r="C467" s="170">
        <f t="shared" si="63"/>
        <v>0</v>
      </c>
      <c r="D467" s="170">
        <f t="shared" si="62"/>
        <v>2460.4526655071218</v>
      </c>
      <c r="E467" s="171">
        <f t="shared" si="65"/>
        <v>0</v>
      </c>
      <c r="F467" s="170">
        <f t="shared" si="66"/>
        <v>0</v>
      </c>
      <c r="G467" s="170">
        <f t="shared" ref="G467:G497" si="69">IF(Nbre_Pmt&lt;&gt;"",Pmt_Total-Ent,"")</f>
        <v>0</v>
      </c>
      <c r="H467" s="170">
        <f t="shared" ref="H467:H497" si="70">IF(Nbre_Pmt&lt;&gt;"",Solde_Départ*Taux_Intérêt/Nbre_Pmt_Par_An,"")</f>
        <v>0</v>
      </c>
      <c r="I467" s="170">
        <f t="shared" si="67"/>
        <v>0</v>
      </c>
      <c r="J467" s="170">
        <f>SUM($H$18:$H467)</f>
        <v>45254.319860854652</v>
      </c>
    </row>
    <row r="468" spans="1:10" x14ac:dyDescent="0.3">
      <c r="A468" s="168">
        <f t="shared" si="68"/>
        <v>451</v>
      </c>
      <c r="B468" s="169">
        <f t="shared" si="64"/>
        <v>59749</v>
      </c>
      <c r="C468" s="170">
        <f t="shared" si="63"/>
        <v>0</v>
      </c>
      <c r="D468" s="170">
        <f t="shared" ref="D468:D497" si="71">IF(Nbre_Pmt&lt;&gt;"",Pmt_Mensuel_Programmé,"")</f>
        <v>2460.4526655071218</v>
      </c>
      <c r="E468" s="171">
        <f t="shared" si="65"/>
        <v>0</v>
      </c>
      <c r="F468" s="170">
        <f t="shared" si="66"/>
        <v>0</v>
      </c>
      <c r="G468" s="170">
        <f t="shared" si="69"/>
        <v>0</v>
      </c>
      <c r="H468" s="170">
        <f t="shared" si="70"/>
        <v>0</v>
      </c>
      <c r="I468" s="170">
        <f t="shared" si="67"/>
        <v>0</v>
      </c>
      <c r="J468" s="170">
        <f>SUM($H$18:$H468)</f>
        <v>45254.319860854652</v>
      </c>
    </row>
    <row r="469" spans="1:10" x14ac:dyDescent="0.3">
      <c r="A469" s="168">
        <f t="shared" si="68"/>
        <v>452</v>
      </c>
      <c r="B469" s="169">
        <f t="shared" si="64"/>
        <v>59780</v>
      </c>
      <c r="C469" s="170">
        <f t="shared" si="63"/>
        <v>0</v>
      </c>
      <c r="D469" s="170">
        <f t="shared" si="71"/>
        <v>2460.4526655071218</v>
      </c>
      <c r="E469" s="171">
        <f t="shared" si="65"/>
        <v>0</v>
      </c>
      <c r="F469" s="170">
        <f t="shared" si="66"/>
        <v>0</v>
      </c>
      <c r="G469" s="170">
        <f t="shared" si="69"/>
        <v>0</v>
      </c>
      <c r="H469" s="170">
        <f t="shared" si="70"/>
        <v>0</v>
      </c>
      <c r="I469" s="170">
        <f t="shared" si="67"/>
        <v>0</v>
      </c>
      <c r="J469" s="170">
        <f>SUM($H$18:$H469)</f>
        <v>45254.319860854652</v>
      </c>
    </row>
    <row r="470" spans="1:10" x14ac:dyDescent="0.3">
      <c r="A470" s="168">
        <f t="shared" si="68"/>
        <v>453</v>
      </c>
      <c r="B470" s="169">
        <f t="shared" si="64"/>
        <v>59810</v>
      </c>
      <c r="C470" s="170">
        <f t="shared" si="63"/>
        <v>0</v>
      </c>
      <c r="D470" s="170">
        <f t="shared" si="71"/>
        <v>2460.4526655071218</v>
      </c>
      <c r="E470" s="171">
        <f t="shared" si="65"/>
        <v>0</v>
      </c>
      <c r="F470" s="170">
        <f t="shared" si="66"/>
        <v>0</v>
      </c>
      <c r="G470" s="170">
        <f t="shared" si="69"/>
        <v>0</v>
      </c>
      <c r="H470" s="170">
        <f t="shared" si="70"/>
        <v>0</v>
      </c>
      <c r="I470" s="170">
        <f t="shared" si="67"/>
        <v>0</v>
      </c>
      <c r="J470" s="170">
        <f>SUM($H$18:$H470)</f>
        <v>45254.319860854652</v>
      </c>
    </row>
    <row r="471" spans="1:10" x14ac:dyDescent="0.3">
      <c r="A471" s="168">
        <f t="shared" si="68"/>
        <v>454</v>
      </c>
      <c r="B471" s="169">
        <f t="shared" si="64"/>
        <v>59841</v>
      </c>
      <c r="C471" s="170">
        <f t="shared" si="63"/>
        <v>0</v>
      </c>
      <c r="D471" s="170">
        <f t="shared" si="71"/>
        <v>2460.4526655071218</v>
      </c>
      <c r="E471" s="171">
        <f t="shared" si="65"/>
        <v>0</v>
      </c>
      <c r="F471" s="170">
        <f t="shared" si="66"/>
        <v>0</v>
      </c>
      <c r="G471" s="170">
        <f t="shared" si="69"/>
        <v>0</v>
      </c>
      <c r="H471" s="170">
        <f t="shared" si="70"/>
        <v>0</v>
      </c>
      <c r="I471" s="170">
        <f t="shared" si="67"/>
        <v>0</v>
      </c>
      <c r="J471" s="170">
        <f>SUM($H$18:$H471)</f>
        <v>45254.319860854652</v>
      </c>
    </row>
    <row r="472" spans="1:10" x14ac:dyDescent="0.3">
      <c r="A472" s="168">
        <f t="shared" si="68"/>
        <v>455</v>
      </c>
      <c r="B472" s="169">
        <f t="shared" si="64"/>
        <v>59871</v>
      </c>
      <c r="C472" s="170">
        <f t="shared" si="63"/>
        <v>0</v>
      </c>
      <c r="D472" s="170">
        <f t="shared" si="71"/>
        <v>2460.4526655071218</v>
      </c>
      <c r="E472" s="171">
        <f t="shared" si="65"/>
        <v>0</v>
      </c>
      <c r="F472" s="170">
        <f t="shared" si="66"/>
        <v>0</v>
      </c>
      <c r="G472" s="170">
        <f t="shared" si="69"/>
        <v>0</v>
      </c>
      <c r="H472" s="170">
        <f t="shared" si="70"/>
        <v>0</v>
      </c>
      <c r="I472" s="170">
        <f t="shared" si="67"/>
        <v>0</v>
      </c>
      <c r="J472" s="170">
        <f>SUM($H$18:$H472)</f>
        <v>45254.319860854652</v>
      </c>
    </row>
    <row r="473" spans="1:10" x14ac:dyDescent="0.3">
      <c r="A473" s="168">
        <f t="shared" si="68"/>
        <v>456</v>
      </c>
      <c r="B473" s="169">
        <f t="shared" si="64"/>
        <v>59902</v>
      </c>
      <c r="C473" s="170">
        <f t="shared" si="63"/>
        <v>0</v>
      </c>
      <c r="D473" s="170">
        <f t="shared" si="71"/>
        <v>2460.4526655071218</v>
      </c>
      <c r="E473" s="171">
        <f t="shared" si="65"/>
        <v>0</v>
      </c>
      <c r="F473" s="170">
        <f t="shared" si="66"/>
        <v>0</v>
      </c>
      <c r="G473" s="170">
        <f t="shared" si="69"/>
        <v>0</v>
      </c>
      <c r="H473" s="170">
        <f t="shared" si="70"/>
        <v>0</v>
      </c>
      <c r="I473" s="170">
        <f t="shared" si="67"/>
        <v>0</v>
      </c>
      <c r="J473" s="170">
        <f>SUM($H$18:$H473)</f>
        <v>45254.319860854652</v>
      </c>
    </row>
    <row r="474" spans="1:10" x14ac:dyDescent="0.3">
      <c r="A474" s="168">
        <f t="shared" si="68"/>
        <v>457</v>
      </c>
      <c r="B474" s="169">
        <f t="shared" si="64"/>
        <v>59933</v>
      </c>
      <c r="C474" s="170">
        <f t="shared" si="63"/>
        <v>0</v>
      </c>
      <c r="D474" s="170">
        <f t="shared" si="71"/>
        <v>2460.4526655071218</v>
      </c>
      <c r="E474" s="171">
        <f t="shared" si="65"/>
        <v>0</v>
      </c>
      <c r="F474" s="170">
        <f t="shared" si="66"/>
        <v>0</v>
      </c>
      <c r="G474" s="170">
        <f t="shared" si="69"/>
        <v>0</v>
      </c>
      <c r="H474" s="170">
        <f t="shared" si="70"/>
        <v>0</v>
      </c>
      <c r="I474" s="170">
        <f t="shared" si="67"/>
        <v>0</v>
      </c>
      <c r="J474" s="170">
        <f>SUM($H$18:$H474)</f>
        <v>45254.319860854652</v>
      </c>
    </row>
    <row r="475" spans="1:10" x14ac:dyDescent="0.3">
      <c r="A475" s="168">
        <f t="shared" si="68"/>
        <v>458</v>
      </c>
      <c r="B475" s="169">
        <f t="shared" si="64"/>
        <v>59962</v>
      </c>
      <c r="C475" s="170">
        <f t="shared" si="63"/>
        <v>0</v>
      </c>
      <c r="D475" s="170">
        <f t="shared" si="71"/>
        <v>2460.4526655071218</v>
      </c>
      <c r="E475" s="171">
        <f t="shared" si="65"/>
        <v>0</v>
      </c>
      <c r="F475" s="170">
        <f t="shared" si="66"/>
        <v>0</v>
      </c>
      <c r="G475" s="170">
        <f t="shared" si="69"/>
        <v>0</v>
      </c>
      <c r="H475" s="170">
        <f t="shared" si="70"/>
        <v>0</v>
      </c>
      <c r="I475" s="170">
        <f t="shared" si="67"/>
        <v>0</v>
      </c>
      <c r="J475" s="170">
        <f>SUM($H$18:$H475)</f>
        <v>45254.319860854652</v>
      </c>
    </row>
    <row r="476" spans="1:10" x14ac:dyDescent="0.3">
      <c r="A476" s="168">
        <f t="shared" si="68"/>
        <v>459</v>
      </c>
      <c r="B476" s="169">
        <f t="shared" si="64"/>
        <v>59993</v>
      </c>
      <c r="C476" s="170">
        <f t="shared" si="63"/>
        <v>0</v>
      </c>
      <c r="D476" s="170">
        <f t="shared" si="71"/>
        <v>2460.4526655071218</v>
      </c>
      <c r="E476" s="171">
        <f t="shared" si="65"/>
        <v>0</v>
      </c>
      <c r="F476" s="170">
        <f t="shared" si="66"/>
        <v>0</v>
      </c>
      <c r="G476" s="170">
        <f t="shared" si="69"/>
        <v>0</v>
      </c>
      <c r="H476" s="170">
        <f t="shared" si="70"/>
        <v>0</v>
      </c>
      <c r="I476" s="170">
        <f t="shared" si="67"/>
        <v>0</v>
      </c>
      <c r="J476" s="170">
        <f>SUM($H$18:$H476)</f>
        <v>45254.319860854652</v>
      </c>
    </row>
    <row r="477" spans="1:10" x14ac:dyDescent="0.3">
      <c r="A477" s="168">
        <f t="shared" si="68"/>
        <v>460</v>
      </c>
      <c r="B477" s="169">
        <f t="shared" si="64"/>
        <v>60023</v>
      </c>
      <c r="C477" s="170">
        <f t="shared" si="63"/>
        <v>0</v>
      </c>
      <c r="D477" s="170">
        <f t="shared" si="71"/>
        <v>2460.4526655071218</v>
      </c>
      <c r="E477" s="171">
        <f t="shared" si="65"/>
        <v>0</v>
      </c>
      <c r="F477" s="170">
        <f t="shared" si="66"/>
        <v>0</v>
      </c>
      <c r="G477" s="170">
        <f t="shared" si="69"/>
        <v>0</v>
      </c>
      <c r="H477" s="170">
        <f t="shared" si="70"/>
        <v>0</v>
      </c>
      <c r="I477" s="170">
        <f t="shared" si="67"/>
        <v>0</v>
      </c>
      <c r="J477" s="170">
        <f>SUM($H$18:$H477)</f>
        <v>45254.319860854652</v>
      </c>
    </row>
    <row r="478" spans="1:10" x14ac:dyDescent="0.3">
      <c r="A478" s="168">
        <f t="shared" si="68"/>
        <v>461</v>
      </c>
      <c r="B478" s="169">
        <f t="shared" si="64"/>
        <v>60054</v>
      </c>
      <c r="C478" s="170">
        <f t="shared" si="63"/>
        <v>0</v>
      </c>
      <c r="D478" s="170">
        <f t="shared" si="71"/>
        <v>2460.4526655071218</v>
      </c>
      <c r="E478" s="171">
        <f t="shared" si="65"/>
        <v>0</v>
      </c>
      <c r="F478" s="170">
        <f t="shared" si="66"/>
        <v>0</v>
      </c>
      <c r="G478" s="170">
        <f t="shared" si="69"/>
        <v>0</v>
      </c>
      <c r="H478" s="170">
        <f t="shared" si="70"/>
        <v>0</v>
      </c>
      <c r="I478" s="170">
        <f t="shared" si="67"/>
        <v>0</v>
      </c>
      <c r="J478" s="170">
        <f>SUM($H$18:$H478)</f>
        <v>45254.319860854652</v>
      </c>
    </row>
    <row r="479" spans="1:10" x14ac:dyDescent="0.3">
      <c r="A479" s="168">
        <f t="shared" si="68"/>
        <v>462</v>
      </c>
      <c r="B479" s="169">
        <f t="shared" si="64"/>
        <v>60084</v>
      </c>
      <c r="C479" s="170">
        <f t="shared" si="63"/>
        <v>0</v>
      </c>
      <c r="D479" s="170">
        <f t="shared" si="71"/>
        <v>2460.4526655071218</v>
      </c>
      <c r="E479" s="171">
        <f t="shared" si="65"/>
        <v>0</v>
      </c>
      <c r="F479" s="170">
        <f t="shared" si="66"/>
        <v>0</v>
      </c>
      <c r="G479" s="170">
        <f t="shared" si="69"/>
        <v>0</v>
      </c>
      <c r="H479" s="170">
        <f t="shared" si="70"/>
        <v>0</v>
      </c>
      <c r="I479" s="170">
        <f t="shared" si="67"/>
        <v>0</v>
      </c>
      <c r="J479" s="170">
        <f>SUM($H$18:$H479)</f>
        <v>45254.319860854652</v>
      </c>
    </row>
    <row r="480" spans="1:10" x14ac:dyDescent="0.3">
      <c r="A480" s="168">
        <f t="shared" si="68"/>
        <v>463</v>
      </c>
      <c r="B480" s="169">
        <f t="shared" si="64"/>
        <v>60115</v>
      </c>
      <c r="C480" s="170">
        <f t="shared" si="63"/>
        <v>0</v>
      </c>
      <c r="D480" s="170">
        <f t="shared" si="71"/>
        <v>2460.4526655071218</v>
      </c>
      <c r="E480" s="171">
        <f t="shared" si="65"/>
        <v>0</v>
      </c>
      <c r="F480" s="170">
        <f t="shared" si="66"/>
        <v>0</v>
      </c>
      <c r="G480" s="170">
        <f t="shared" si="69"/>
        <v>0</v>
      </c>
      <c r="H480" s="170">
        <f t="shared" si="70"/>
        <v>0</v>
      </c>
      <c r="I480" s="170">
        <f t="shared" si="67"/>
        <v>0</v>
      </c>
      <c r="J480" s="170">
        <f>SUM($H$18:$H480)</f>
        <v>45254.319860854652</v>
      </c>
    </row>
    <row r="481" spans="1:10" x14ac:dyDescent="0.3">
      <c r="A481" s="168">
        <f t="shared" si="68"/>
        <v>464</v>
      </c>
      <c r="B481" s="169">
        <f t="shared" si="64"/>
        <v>60146</v>
      </c>
      <c r="C481" s="170">
        <f t="shared" si="63"/>
        <v>0</v>
      </c>
      <c r="D481" s="170">
        <f t="shared" si="71"/>
        <v>2460.4526655071218</v>
      </c>
      <c r="E481" s="171">
        <f t="shared" si="65"/>
        <v>0</v>
      </c>
      <c r="F481" s="170">
        <f t="shared" si="66"/>
        <v>0</v>
      </c>
      <c r="G481" s="170">
        <f t="shared" si="69"/>
        <v>0</v>
      </c>
      <c r="H481" s="170">
        <f t="shared" si="70"/>
        <v>0</v>
      </c>
      <c r="I481" s="170">
        <f t="shared" si="67"/>
        <v>0</v>
      </c>
      <c r="J481" s="170">
        <f>SUM($H$18:$H481)</f>
        <v>45254.319860854652</v>
      </c>
    </row>
    <row r="482" spans="1:10" x14ac:dyDescent="0.3">
      <c r="A482" s="168">
        <f t="shared" si="68"/>
        <v>465</v>
      </c>
      <c r="B482" s="169">
        <f t="shared" si="64"/>
        <v>60176</v>
      </c>
      <c r="C482" s="170">
        <f t="shared" si="63"/>
        <v>0</v>
      </c>
      <c r="D482" s="170">
        <f t="shared" si="71"/>
        <v>2460.4526655071218</v>
      </c>
      <c r="E482" s="171">
        <f t="shared" si="65"/>
        <v>0</v>
      </c>
      <c r="F482" s="170">
        <f t="shared" si="66"/>
        <v>0</v>
      </c>
      <c r="G482" s="170">
        <f t="shared" si="69"/>
        <v>0</v>
      </c>
      <c r="H482" s="170">
        <f t="shared" si="70"/>
        <v>0</v>
      </c>
      <c r="I482" s="170">
        <f t="shared" si="67"/>
        <v>0</v>
      </c>
      <c r="J482" s="170">
        <f>SUM($H$18:$H482)</f>
        <v>45254.319860854652</v>
      </c>
    </row>
    <row r="483" spans="1:10" x14ac:dyDescent="0.3">
      <c r="A483" s="168">
        <f t="shared" si="68"/>
        <v>466</v>
      </c>
      <c r="B483" s="169">
        <f t="shared" si="64"/>
        <v>60207</v>
      </c>
      <c r="C483" s="170">
        <f t="shared" si="63"/>
        <v>0</v>
      </c>
      <c r="D483" s="170">
        <f t="shared" si="71"/>
        <v>2460.4526655071218</v>
      </c>
      <c r="E483" s="171">
        <f t="shared" si="65"/>
        <v>0</v>
      </c>
      <c r="F483" s="170">
        <f t="shared" si="66"/>
        <v>0</v>
      </c>
      <c r="G483" s="170">
        <f t="shared" si="69"/>
        <v>0</v>
      </c>
      <c r="H483" s="170">
        <f t="shared" si="70"/>
        <v>0</v>
      </c>
      <c r="I483" s="170">
        <f t="shared" si="67"/>
        <v>0</v>
      </c>
      <c r="J483" s="170">
        <f>SUM($H$18:$H483)</f>
        <v>45254.319860854652</v>
      </c>
    </row>
    <row r="484" spans="1:10" x14ac:dyDescent="0.3">
      <c r="A484" s="168">
        <f t="shared" si="68"/>
        <v>467</v>
      </c>
      <c r="B484" s="169">
        <f t="shared" si="64"/>
        <v>60237</v>
      </c>
      <c r="C484" s="170">
        <f t="shared" si="63"/>
        <v>0</v>
      </c>
      <c r="D484" s="170">
        <f t="shared" si="71"/>
        <v>2460.4526655071218</v>
      </c>
      <c r="E484" s="171">
        <f t="shared" si="65"/>
        <v>0</v>
      </c>
      <c r="F484" s="170">
        <f t="shared" si="66"/>
        <v>0</v>
      </c>
      <c r="G484" s="170">
        <f t="shared" si="69"/>
        <v>0</v>
      </c>
      <c r="H484" s="170">
        <f t="shared" si="70"/>
        <v>0</v>
      </c>
      <c r="I484" s="170">
        <f t="shared" si="67"/>
        <v>0</v>
      </c>
      <c r="J484" s="170">
        <f>SUM($H$18:$H484)</f>
        <v>45254.319860854652</v>
      </c>
    </row>
    <row r="485" spans="1:10" x14ac:dyDescent="0.3">
      <c r="A485" s="168">
        <f t="shared" si="68"/>
        <v>468</v>
      </c>
      <c r="B485" s="169">
        <f t="shared" si="64"/>
        <v>60268</v>
      </c>
      <c r="C485" s="170">
        <f t="shared" si="63"/>
        <v>0</v>
      </c>
      <c r="D485" s="170">
        <f t="shared" si="71"/>
        <v>2460.4526655071218</v>
      </c>
      <c r="E485" s="171">
        <f t="shared" si="65"/>
        <v>0</v>
      </c>
      <c r="F485" s="170">
        <f t="shared" si="66"/>
        <v>0</v>
      </c>
      <c r="G485" s="170">
        <f t="shared" si="69"/>
        <v>0</v>
      </c>
      <c r="H485" s="170">
        <f t="shared" si="70"/>
        <v>0</v>
      </c>
      <c r="I485" s="170">
        <f t="shared" si="67"/>
        <v>0</v>
      </c>
      <c r="J485" s="170">
        <f>SUM($H$18:$H485)</f>
        <v>45254.319860854652</v>
      </c>
    </row>
    <row r="486" spans="1:10" x14ac:dyDescent="0.3">
      <c r="A486" s="168">
        <f t="shared" si="68"/>
        <v>469</v>
      </c>
      <c r="B486" s="169">
        <f t="shared" si="64"/>
        <v>60299</v>
      </c>
      <c r="C486" s="170">
        <f t="shared" si="63"/>
        <v>0</v>
      </c>
      <c r="D486" s="170">
        <f t="shared" si="71"/>
        <v>2460.4526655071218</v>
      </c>
      <c r="E486" s="171">
        <f t="shared" si="65"/>
        <v>0</v>
      </c>
      <c r="F486" s="170">
        <f t="shared" si="66"/>
        <v>0</v>
      </c>
      <c r="G486" s="170">
        <f t="shared" si="69"/>
        <v>0</v>
      </c>
      <c r="H486" s="170">
        <f t="shared" si="70"/>
        <v>0</v>
      </c>
      <c r="I486" s="170">
        <f t="shared" si="67"/>
        <v>0</v>
      </c>
      <c r="J486" s="170">
        <f>SUM($H$18:$H486)</f>
        <v>45254.319860854652</v>
      </c>
    </row>
    <row r="487" spans="1:10" x14ac:dyDescent="0.3">
      <c r="A487" s="168">
        <f t="shared" si="68"/>
        <v>470</v>
      </c>
      <c r="B487" s="169">
        <f t="shared" si="64"/>
        <v>60327</v>
      </c>
      <c r="C487" s="170">
        <f t="shared" si="63"/>
        <v>0</v>
      </c>
      <c r="D487" s="170">
        <f t="shared" si="71"/>
        <v>2460.4526655071218</v>
      </c>
      <c r="E487" s="171">
        <f t="shared" si="65"/>
        <v>0</v>
      </c>
      <c r="F487" s="170">
        <f t="shared" si="66"/>
        <v>0</v>
      </c>
      <c r="G487" s="170">
        <f t="shared" si="69"/>
        <v>0</v>
      </c>
      <c r="H487" s="170">
        <f t="shared" si="70"/>
        <v>0</v>
      </c>
      <c r="I487" s="170">
        <f t="shared" si="67"/>
        <v>0</v>
      </c>
      <c r="J487" s="170">
        <f>SUM($H$18:$H487)</f>
        <v>45254.319860854652</v>
      </c>
    </row>
    <row r="488" spans="1:10" x14ac:dyDescent="0.3">
      <c r="A488" s="168">
        <f t="shared" si="68"/>
        <v>471</v>
      </c>
      <c r="B488" s="169">
        <f t="shared" si="64"/>
        <v>60358</v>
      </c>
      <c r="C488" s="170">
        <f t="shared" si="63"/>
        <v>0</v>
      </c>
      <c r="D488" s="170">
        <f t="shared" si="71"/>
        <v>2460.4526655071218</v>
      </c>
      <c r="E488" s="171">
        <f t="shared" si="65"/>
        <v>0</v>
      </c>
      <c r="F488" s="170">
        <f t="shared" si="66"/>
        <v>0</v>
      </c>
      <c r="G488" s="170">
        <f t="shared" si="69"/>
        <v>0</v>
      </c>
      <c r="H488" s="170">
        <f t="shared" si="70"/>
        <v>0</v>
      </c>
      <c r="I488" s="170">
        <f t="shared" si="67"/>
        <v>0</v>
      </c>
      <c r="J488" s="170">
        <f>SUM($H$18:$H488)</f>
        <v>45254.319860854652</v>
      </c>
    </row>
    <row r="489" spans="1:10" x14ac:dyDescent="0.3">
      <c r="A489" s="168">
        <f t="shared" si="68"/>
        <v>472</v>
      </c>
      <c r="B489" s="169">
        <f t="shared" si="64"/>
        <v>60388</v>
      </c>
      <c r="C489" s="170">
        <f t="shared" si="63"/>
        <v>0</v>
      </c>
      <c r="D489" s="170">
        <f t="shared" si="71"/>
        <v>2460.4526655071218</v>
      </c>
      <c r="E489" s="171">
        <f t="shared" si="65"/>
        <v>0</v>
      </c>
      <c r="F489" s="170">
        <f t="shared" si="66"/>
        <v>0</v>
      </c>
      <c r="G489" s="170">
        <f t="shared" si="69"/>
        <v>0</v>
      </c>
      <c r="H489" s="170">
        <f t="shared" si="70"/>
        <v>0</v>
      </c>
      <c r="I489" s="170">
        <f t="shared" si="67"/>
        <v>0</v>
      </c>
      <c r="J489" s="170">
        <f>SUM($H$18:$H489)</f>
        <v>45254.319860854652</v>
      </c>
    </row>
    <row r="490" spans="1:10" x14ac:dyDescent="0.3">
      <c r="A490" s="168">
        <f t="shared" si="68"/>
        <v>473</v>
      </c>
      <c r="B490" s="169">
        <f t="shared" si="64"/>
        <v>60419</v>
      </c>
      <c r="C490" s="170">
        <f t="shared" si="63"/>
        <v>0</v>
      </c>
      <c r="D490" s="170">
        <f t="shared" si="71"/>
        <v>2460.4526655071218</v>
      </c>
      <c r="E490" s="171">
        <f t="shared" si="65"/>
        <v>0</v>
      </c>
      <c r="F490" s="170">
        <f t="shared" si="66"/>
        <v>0</v>
      </c>
      <c r="G490" s="170">
        <f t="shared" si="69"/>
        <v>0</v>
      </c>
      <c r="H490" s="170">
        <f t="shared" si="70"/>
        <v>0</v>
      </c>
      <c r="I490" s="170">
        <f t="shared" si="67"/>
        <v>0</v>
      </c>
      <c r="J490" s="170">
        <f>SUM($H$18:$H490)</f>
        <v>45254.319860854652</v>
      </c>
    </row>
    <row r="491" spans="1:10" x14ac:dyDescent="0.3">
      <c r="A491" s="168">
        <f t="shared" si="68"/>
        <v>474</v>
      </c>
      <c r="B491" s="169">
        <f t="shared" si="64"/>
        <v>60449</v>
      </c>
      <c r="C491" s="170">
        <f t="shared" si="63"/>
        <v>0</v>
      </c>
      <c r="D491" s="170">
        <f t="shared" si="71"/>
        <v>2460.4526655071218</v>
      </c>
      <c r="E491" s="171">
        <f t="shared" si="65"/>
        <v>0</v>
      </c>
      <c r="F491" s="170">
        <f t="shared" si="66"/>
        <v>0</v>
      </c>
      <c r="G491" s="170">
        <f t="shared" si="69"/>
        <v>0</v>
      </c>
      <c r="H491" s="170">
        <f t="shared" si="70"/>
        <v>0</v>
      </c>
      <c r="I491" s="170">
        <f t="shared" si="67"/>
        <v>0</v>
      </c>
      <c r="J491" s="170">
        <f>SUM($H$18:$H491)</f>
        <v>45254.319860854652</v>
      </c>
    </row>
    <row r="492" spans="1:10" x14ac:dyDescent="0.3">
      <c r="A492" s="168">
        <f t="shared" si="68"/>
        <v>475</v>
      </c>
      <c r="B492" s="169">
        <f t="shared" si="64"/>
        <v>60480</v>
      </c>
      <c r="C492" s="170">
        <f t="shared" si="63"/>
        <v>0</v>
      </c>
      <c r="D492" s="170">
        <f t="shared" si="71"/>
        <v>2460.4526655071218</v>
      </c>
      <c r="E492" s="171">
        <f t="shared" si="65"/>
        <v>0</v>
      </c>
      <c r="F492" s="170">
        <f t="shared" si="66"/>
        <v>0</v>
      </c>
      <c r="G492" s="170">
        <f t="shared" si="69"/>
        <v>0</v>
      </c>
      <c r="H492" s="170">
        <f t="shared" si="70"/>
        <v>0</v>
      </c>
      <c r="I492" s="170">
        <f t="shared" si="67"/>
        <v>0</v>
      </c>
      <c r="J492" s="170">
        <f>SUM($H$18:$H492)</f>
        <v>45254.319860854652</v>
      </c>
    </row>
    <row r="493" spans="1:10" x14ac:dyDescent="0.3">
      <c r="A493" s="168">
        <f t="shared" si="68"/>
        <v>476</v>
      </c>
      <c r="B493" s="169">
        <f t="shared" si="64"/>
        <v>60511</v>
      </c>
      <c r="C493" s="170">
        <f t="shared" si="63"/>
        <v>0</v>
      </c>
      <c r="D493" s="170">
        <f t="shared" si="71"/>
        <v>2460.4526655071218</v>
      </c>
      <c r="E493" s="171">
        <f t="shared" si="65"/>
        <v>0</v>
      </c>
      <c r="F493" s="170">
        <f t="shared" si="66"/>
        <v>0</v>
      </c>
      <c r="G493" s="170">
        <f t="shared" si="69"/>
        <v>0</v>
      </c>
      <c r="H493" s="170">
        <f t="shared" si="70"/>
        <v>0</v>
      </c>
      <c r="I493" s="170">
        <f t="shared" si="67"/>
        <v>0</v>
      </c>
      <c r="J493" s="170">
        <f>SUM($H$18:$H493)</f>
        <v>45254.319860854652</v>
      </c>
    </row>
    <row r="494" spans="1:10" x14ac:dyDescent="0.3">
      <c r="A494" s="168">
        <f t="shared" si="68"/>
        <v>477</v>
      </c>
      <c r="B494" s="169">
        <f t="shared" si="64"/>
        <v>60541</v>
      </c>
      <c r="C494" s="170">
        <f t="shared" si="63"/>
        <v>0</v>
      </c>
      <c r="D494" s="170">
        <f t="shared" si="71"/>
        <v>2460.4526655071218</v>
      </c>
      <c r="E494" s="171">
        <f t="shared" si="65"/>
        <v>0</v>
      </c>
      <c r="F494" s="170">
        <f t="shared" si="66"/>
        <v>0</v>
      </c>
      <c r="G494" s="170">
        <f t="shared" si="69"/>
        <v>0</v>
      </c>
      <c r="H494" s="170">
        <f t="shared" si="70"/>
        <v>0</v>
      </c>
      <c r="I494" s="170">
        <f t="shared" si="67"/>
        <v>0</v>
      </c>
      <c r="J494" s="170">
        <f>SUM($H$18:$H494)</f>
        <v>45254.319860854652</v>
      </c>
    </row>
    <row r="495" spans="1:10" x14ac:dyDescent="0.3">
      <c r="A495" s="168">
        <f t="shared" si="68"/>
        <v>478</v>
      </c>
      <c r="B495" s="169">
        <f t="shared" si="64"/>
        <v>60572</v>
      </c>
      <c r="C495" s="170">
        <f t="shared" si="63"/>
        <v>0</v>
      </c>
      <c r="D495" s="170">
        <f t="shared" si="71"/>
        <v>2460.4526655071218</v>
      </c>
      <c r="E495" s="171">
        <f t="shared" si="65"/>
        <v>0</v>
      </c>
      <c r="F495" s="170">
        <f t="shared" si="66"/>
        <v>0</v>
      </c>
      <c r="G495" s="170">
        <f t="shared" si="69"/>
        <v>0</v>
      </c>
      <c r="H495" s="170">
        <f t="shared" si="70"/>
        <v>0</v>
      </c>
      <c r="I495" s="170">
        <f t="shared" si="67"/>
        <v>0</v>
      </c>
      <c r="J495" s="170">
        <f>SUM($H$18:$H495)</f>
        <v>45254.319860854652</v>
      </c>
    </row>
    <row r="496" spans="1:10" x14ac:dyDescent="0.3">
      <c r="A496" s="168">
        <f t="shared" si="68"/>
        <v>479</v>
      </c>
      <c r="B496" s="169">
        <f t="shared" si="64"/>
        <v>60602</v>
      </c>
      <c r="C496" s="170">
        <f t="shared" si="63"/>
        <v>0</v>
      </c>
      <c r="D496" s="170">
        <f t="shared" si="71"/>
        <v>2460.4526655071218</v>
      </c>
      <c r="E496" s="171">
        <f t="shared" si="65"/>
        <v>0</v>
      </c>
      <c r="F496" s="170">
        <f t="shared" si="66"/>
        <v>0</v>
      </c>
      <c r="G496" s="170">
        <f t="shared" si="69"/>
        <v>0</v>
      </c>
      <c r="H496" s="170">
        <f t="shared" si="70"/>
        <v>0</v>
      </c>
      <c r="I496" s="170">
        <f t="shared" si="67"/>
        <v>0</v>
      </c>
      <c r="J496" s="170">
        <f>SUM($H$18:$H496)</f>
        <v>45254.319860854652</v>
      </c>
    </row>
    <row r="497" spans="1:10" x14ac:dyDescent="0.3">
      <c r="A497" s="168">
        <f t="shared" si="68"/>
        <v>480</v>
      </c>
      <c r="B497" s="169">
        <f t="shared" si="64"/>
        <v>60633</v>
      </c>
      <c r="C497" s="170">
        <f t="shared" si="63"/>
        <v>0</v>
      </c>
      <c r="D497" s="170">
        <f t="shared" si="71"/>
        <v>2460.4526655071218</v>
      </c>
      <c r="E497" s="171">
        <f t="shared" si="65"/>
        <v>0</v>
      </c>
      <c r="F497" s="170">
        <f t="shared" si="66"/>
        <v>0</v>
      </c>
      <c r="G497" s="170">
        <f t="shared" si="69"/>
        <v>0</v>
      </c>
      <c r="H497" s="170">
        <f t="shared" si="70"/>
        <v>0</v>
      </c>
      <c r="I497" s="170">
        <f t="shared" si="67"/>
        <v>0</v>
      </c>
      <c r="J497" s="170">
        <f>SUM($H$18:$H497)</f>
        <v>45254.319860854652</v>
      </c>
    </row>
  </sheetData>
  <sheetProtection sheet="1" objects="1" scenarios="1" selectLockedCells="1"/>
  <mergeCells count="3">
    <mergeCell ref="B4:D4"/>
    <mergeCell ref="H4:J4"/>
    <mergeCell ref="C12:D12"/>
  </mergeCells>
  <conditionalFormatting sqref="A18:E497">
    <cfRule type="expression" dxfId="173" priority="1" stopIfTrue="1">
      <formula>IF(ROW(A18)&gt;Dernière_Ligne,TRUE, FALSE)</formula>
    </cfRule>
    <cfRule type="expression" dxfId="172" priority="2" stopIfTrue="1">
      <formula>IF(ROW(A18)=Dernière_Ligne,TRUE, FALSE)</formula>
    </cfRule>
    <cfRule type="expression" dxfId="171" priority="3" stopIfTrue="1">
      <formula>IF(ROW(A18)&lt;Dernière_Ligne,TRUE, FALSE)</formula>
    </cfRule>
  </conditionalFormatting>
  <conditionalFormatting sqref="F18:J497">
    <cfRule type="expression" dxfId="170" priority="4" stopIfTrue="1">
      <formula>IF(ROW(F18)&gt;Dernière_Ligne,TRUE, FALSE)</formula>
    </cfRule>
    <cfRule type="expression" dxfId="169" priority="5" stopIfTrue="1">
      <formula>IF(ROW(F18)=Dernière_Ligne,TRUE, FALSE)</formula>
    </cfRule>
    <cfRule type="expression" dxfId="168" priority="6" stopIfTrue="1">
      <formula>IF(ROW(F18)&lt;=Dernière_Ligne,TRUE, FALSE)</formula>
    </cfRule>
  </conditionalFormatting>
  <dataValidations count="3">
    <dataValidation allowBlank="1" showInputMessage="1" showErrorMessage="1" promptTitle="Paiements supplémentaires" prompt="Entrez un montant ici pour effectuer des paiements supplémentaires principaux chaque période de paie._x000a__x000a_Pour les paiements occasionnels, entrez les montants supplémentaires principaux dans la colonne « Paiement supplémentaire » ci-dessous." sqref="D10"/>
    <dataValidation type="date" operator="greaterThanOrEqual" allowBlank="1" showInputMessage="1" showErrorMessage="1" errorTitle="Date" error="Entrez une date valide supérieure ou égale à : 1er janvier 1900." sqref="D9">
      <formula1>1</formula1>
    </dataValidation>
    <dataValidation type="whole" allowBlank="1" showInputMessage="1" showErrorMessage="1" errorTitle="Années" error="Entrez un nombre entier d'années compris entre 1 et 40." sqref="D7">
      <formula1>1</formula1>
      <formula2>40</formula2>
    </dataValidation>
  </dataValidations>
  <pageMargins left="0.5" right="0.5" top="0.5" bottom="0.5" header="0.5" footer="0.5"/>
  <pageSetup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3:O44"/>
  <sheetViews>
    <sheetView workbookViewId="0">
      <selection activeCell="K16" sqref="K16"/>
    </sheetView>
  </sheetViews>
  <sheetFormatPr baseColWidth="10" defaultRowHeight="14.4" x14ac:dyDescent="0.3"/>
  <cols>
    <col min="1" max="1" width="34.77734375" bestFit="1" customWidth="1"/>
    <col min="2" max="2" width="11.21875" bestFit="1" customWidth="1"/>
    <col min="7" max="7" width="4.109375" customWidth="1"/>
    <col min="9" max="9" width="4.88671875" customWidth="1"/>
  </cols>
  <sheetData>
    <row r="3" spans="1:15" ht="28.8" x14ac:dyDescent="0.3">
      <c r="B3" t="s">
        <v>18</v>
      </c>
      <c r="D3" t="s">
        <v>19</v>
      </c>
      <c r="E3" s="1" t="s">
        <v>10</v>
      </c>
      <c r="F3" s="1" t="s">
        <v>11</v>
      </c>
      <c r="G3" s="5" t="s">
        <v>6</v>
      </c>
      <c r="H3" s="6" t="s">
        <v>2</v>
      </c>
      <c r="I3" s="7" t="s">
        <v>6</v>
      </c>
      <c r="J3" s="7" t="s">
        <v>3</v>
      </c>
      <c r="K3" s="4" t="s">
        <v>24</v>
      </c>
      <c r="L3" s="4" t="s">
        <v>24</v>
      </c>
    </row>
    <row r="4" spans="1:15" x14ac:dyDescent="0.3">
      <c r="A4" s="9" t="s">
        <v>0</v>
      </c>
      <c r="B4" s="9"/>
      <c r="D4" s="11">
        <v>3341</v>
      </c>
      <c r="E4" s="11"/>
      <c r="F4" s="10"/>
      <c r="G4" s="9">
        <v>75</v>
      </c>
      <c r="H4" s="10"/>
      <c r="I4" s="9">
        <v>57</v>
      </c>
      <c r="J4" s="11"/>
      <c r="K4" s="11"/>
      <c r="L4" s="11"/>
      <c r="M4">
        <f>+D4*10</f>
        <v>33410</v>
      </c>
      <c r="O4">
        <f>+D4*12</f>
        <v>40092</v>
      </c>
    </row>
    <row r="5" spans="1:15" x14ac:dyDescent="0.3">
      <c r="A5" s="9" t="s">
        <v>1</v>
      </c>
      <c r="B5" s="9"/>
      <c r="C5" s="9"/>
      <c r="D5" s="11">
        <v>2351.63</v>
      </c>
      <c r="E5" s="11"/>
      <c r="F5" s="10"/>
      <c r="G5" s="9"/>
      <c r="H5" s="10">
        <f>+D5*G4/100</f>
        <v>1763.7225000000001</v>
      </c>
      <c r="I5" s="9"/>
      <c r="J5" s="10">
        <f>+D5*I4/100</f>
        <v>1340.4291000000001</v>
      </c>
      <c r="K5" s="11"/>
      <c r="L5" s="11"/>
      <c r="M5">
        <f>+D5*10</f>
        <v>23516.300000000003</v>
      </c>
    </row>
    <row r="6" spans="1:15" x14ac:dyDescent="0.3">
      <c r="A6" s="9"/>
      <c r="B6" s="9"/>
      <c r="C6" s="9"/>
      <c r="D6" s="9"/>
      <c r="E6" s="10"/>
      <c r="F6" s="10"/>
      <c r="G6" s="9"/>
      <c r="H6" s="10"/>
      <c r="I6" s="9"/>
      <c r="J6" s="11"/>
      <c r="K6" s="11"/>
      <c r="L6" s="11"/>
    </row>
    <row r="7" spans="1:15" x14ac:dyDescent="0.3">
      <c r="A7" s="9"/>
      <c r="B7" s="9"/>
      <c r="C7" s="9"/>
      <c r="D7" s="9"/>
      <c r="E7" s="10"/>
      <c r="F7" s="10"/>
      <c r="G7" s="9"/>
      <c r="H7" s="10"/>
      <c r="I7" s="9"/>
      <c r="J7" s="11"/>
      <c r="K7" s="11"/>
      <c r="L7" s="11"/>
    </row>
    <row r="8" spans="1:15" x14ac:dyDescent="0.3">
      <c r="A8" s="9"/>
      <c r="B8" s="9"/>
      <c r="C8" s="9"/>
      <c r="D8" s="9"/>
      <c r="E8" s="10"/>
      <c r="F8" s="10"/>
      <c r="G8" s="9"/>
      <c r="H8" s="10"/>
      <c r="I8" s="9"/>
      <c r="J8" s="11"/>
      <c r="K8" s="11"/>
      <c r="L8" s="11"/>
    </row>
    <row r="9" spans="1:15" x14ac:dyDescent="0.3">
      <c r="A9" s="9" t="s">
        <v>4</v>
      </c>
      <c r="B9" s="9"/>
      <c r="C9" s="9"/>
      <c r="D9" s="11">
        <f>+E9/2</f>
        <v>500</v>
      </c>
      <c r="E9" s="11">
        <v>1000</v>
      </c>
      <c r="F9" s="3"/>
      <c r="G9" s="11"/>
      <c r="H9" s="11"/>
      <c r="I9" s="11"/>
      <c r="J9" s="11">
        <f>+H9</f>
        <v>0</v>
      </c>
      <c r="K9" s="11"/>
      <c r="L9" s="11"/>
    </row>
    <row r="10" spans="1:15" x14ac:dyDescent="0.3">
      <c r="A10" s="9" t="s">
        <v>5</v>
      </c>
      <c r="B10" s="9"/>
      <c r="C10" s="9"/>
      <c r="D10" s="11">
        <f>+E10/2</f>
        <v>300</v>
      </c>
      <c r="E10" s="11">
        <v>600</v>
      </c>
      <c r="F10" s="3"/>
      <c r="G10" s="11"/>
      <c r="H10" s="11"/>
      <c r="I10" s="11"/>
      <c r="J10" s="11">
        <f>+H10</f>
        <v>0</v>
      </c>
      <c r="K10" s="11"/>
      <c r="L10" s="11"/>
    </row>
    <row r="11" spans="1:15" x14ac:dyDescent="0.3">
      <c r="A11" s="12"/>
      <c r="B11" s="12"/>
      <c r="C11" s="12"/>
      <c r="D11" s="14"/>
      <c r="E11" s="14"/>
      <c r="F11" s="14"/>
      <c r="G11" s="14"/>
      <c r="H11" s="14"/>
      <c r="I11" s="14"/>
      <c r="J11" s="14"/>
      <c r="K11" s="14"/>
      <c r="L11" s="14"/>
    </row>
    <row r="12" spans="1:15" x14ac:dyDescent="0.3">
      <c r="A12" t="s">
        <v>14</v>
      </c>
      <c r="D12" s="3">
        <f>SUM(D5:D11)</f>
        <v>3151.63</v>
      </c>
      <c r="E12" s="3"/>
      <c r="F12" s="3"/>
      <c r="G12" s="3"/>
      <c r="H12" s="3">
        <f>+H5+H9+H10</f>
        <v>1763.7225000000001</v>
      </c>
      <c r="I12" s="3"/>
      <c r="J12" s="3">
        <f>SUM(J5:J11)</f>
        <v>1340.4291000000001</v>
      </c>
      <c r="K12" s="3"/>
      <c r="L12" s="3"/>
    </row>
    <row r="13" spans="1:15" x14ac:dyDescent="0.3">
      <c r="E13" s="2"/>
      <c r="F13" s="2"/>
      <c r="H13" s="2"/>
      <c r="J13" s="3"/>
      <c r="K13" s="3"/>
      <c r="L13" s="3"/>
    </row>
    <row r="14" spans="1:15" x14ac:dyDescent="0.3">
      <c r="A14" t="s">
        <v>13</v>
      </c>
      <c r="D14" s="8">
        <v>0.33</v>
      </c>
      <c r="E14" s="2"/>
      <c r="H14" s="8">
        <v>0.33</v>
      </c>
      <c r="J14" s="8">
        <v>0.33</v>
      </c>
      <c r="K14" s="3"/>
      <c r="L14" s="3"/>
    </row>
    <row r="15" spans="1:15" x14ac:dyDescent="0.3">
      <c r="D15" s="3">
        <f>+D12*D14</f>
        <v>1040.0379</v>
      </c>
      <c r="E15" s="3"/>
      <c r="F15" s="3"/>
      <c r="G15" s="3"/>
      <c r="H15" s="3">
        <f>+H12*H14</f>
        <v>582.02842500000008</v>
      </c>
      <c r="I15" s="3"/>
      <c r="J15" s="3">
        <f>+J12*J14</f>
        <v>442.34160300000002</v>
      </c>
      <c r="K15" s="3"/>
      <c r="L15" s="3"/>
    </row>
    <row r="16" spans="1:15" x14ac:dyDescent="0.3">
      <c r="D16" s="2"/>
      <c r="E16" s="2"/>
      <c r="F16" s="2"/>
      <c r="H16" s="2"/>
      <c r="J16" s="3"/>
      <c r="K16" s="3"/>
      <c r="L16" s="3"/>
    </row>
    <row r="17" spans="1:12" x14ac:dyDescent="0.3">
      <c r="A17" t="s">
        <v>23</v>
      </c>
      <c r="E17" s="2"/>
      <c r="F17" s="2"/>
      <c r="H17" s="2"/>
      <c r="J17" s="3"/>
      <c r="K17" s="3">
        <f>3*2351</f>
        <v>7053</v>
      </c>
      <c r="L17" s="3"/>
    </row>
    <row r="18" spans="1:12" x14ac:dyDescent="0.3">
      <c r="A18" t="s">
        <v>7</v>
      </c>
      <c r="E18" s="2"/>
      <c r="F18" s="2"/>
      <c r="H18" s="2"/>
      <c r="J18" s="3"/>
      <c r="K18" s="3">
        <v>8300</v>
      </c>
      <c r="L18" s="3">
        <v>8300</v>
      </c>
    </row>
    <row r="19" spans="1:12" x14ac:dyDescent="0.3">
      <c r="A19" t="s">
        <v>8</v>
      </c>
      <c r="E19" s="2"/>
      <c r="F19" s="2"/>
      <c r="H19" s="2"/>
      <c r="J19" s="3"/>
      <c r="K19" s="3">
        <f>95*109</f>
        <v>10355</v>
      </c>
      <c r="L19" s="3">
        <f>95*109</f>
        <v>10355</v>
      </c>
    </row>
    <row r="20" spans="1:12" x14ac:dyDescent="0.3">
      <c r="A20" t="s">
        <v>9</v>
      </c>
      <c r="E20" s="2"/>
      <c r="F20" s="2"/>
      <c r="H20" s="2"/>
      <c r="J20" s="3"/>
      <c r="K20" s="3">
        <v>10000</v>
      </c>
      <c r="L20" s="3">
        <v>10000</v>
      </c>
    </row>
    <row r="21" spans="1:12" x14ac:dyDescent="0.3">
      <c r="J21" s="3"/>
      <c r="K21" s="3"/>
      <c r="L21" s="3"/>
    </row>
    <row r="22" spans="1:12" x14ac:dyDescent="0.3">
      <c r="A22" t="s">
        <v>14</v>
      </c>
      <c r="J22" s="3"/>
      <c r="K22" s="3">
        <f>SUM(K17:K21)</f>
        <v>35708</v>
      </c>
      <c r="L22" s="3">
        <f>SUM(L17:L21)</f>
        <v>28655</v>
      </c>
    </row>
    <row r="23" spans="1:12" x14ac:dyDescent="0.3">
      <c r="J23" s="3"/>
      <c r="K23" s="3"/>
    </row>
    <row r="24" spans="1:12" x14ac:dyDescent="0.3">
      <c r="A24" t="s">
        <v>32</v>
      </c>
      <c r="E24" s="2"/>
      <c r="F24" s="2"/>
      <c r="H24" s="2"/>
      <c r="J24" s="3"/>
      <c r="K24" s="2">
        <f>28167-4534*30/100-28167*1.66%</f>
        <v>26339.227800000001</v>
      </c>
      <c r="L24" s="2">
        <f>28167-4534*30/100-28167*1.66%</f>
        <v>26339.227800000001</v>
      </c>
    </row>
    <row r="25" spans="1:12" x14ac:dyDescent="0.3">
      <c r="A25" t="s">
        <v>32</v>
      </c>
      <c r="E25" s="2"/>
      <c r="F25" s="2"/>
      <c r="H25" s="2"/>
      <c r="J25" s="3"/>
      <c r="K25" s="2">
        <f>27152-4534*30/100-27152*1.66%</f>
        <v>25341.076799999999</v>
      </c>
      <c r="L25" s="2">
        <f>27152-4534*30/100-27152*1.66%</f>
        <v>25341.076799999999</v>
      </c>
    </row>
    <row r="26" spans="1:12" x14ac:dyDescent="0.3">
      <c r="A26" s="27" t="s">
        <v>95</v>
      </c>
      <c r="J26" s="3"/>
      <c r="K26" s="2">
        <f>3502.67+1775.82</f>
        <v>5278.49</v>
      </c>
      <c r="L26" s="2">
        <f>3502.67+1775.82</f>
        <v>5278.49</v>
      </c>
    </row>
    <row r="27" spans="1:12" x14ac:dyDescent="0.3">
      <c r="A27" t="s">
        <v>33</v>
      </c>
      <c r="J27" s="3"/>
      <c r="K27" s="2">
        <f>SUM(K24:K26)</f>
        <v>56958.794600000001</v>
      </c>
      <c r="L27" s="2">
        <f>SUM(L24:L26)</f>
        <v>56958.794600000001</v>
      </c>
    </row>
    <row r="28" spans="1:12" x14ac:dyDescent="0.3">
      <c r="J28" s="3"/>
      <c r="K28" s="3"/>
    </row>
    <row r="29" spans="1:12" x14ac:dyDescent="0.3">
      <c r="J29" s="3"/>
      <c r="K29" s="3"/>
    </row>
    <row r="31" spans="1:12" hidden="1" x14ac:dyDescent="0.3">
      <c r="A31" t="s">
        <v>16</v>
      </c>
      <c r="B31" s="2">
        <v>129493.59</v>
      </c>
    </row>
    <row r="32" spans="1:12" hidden="1" x14ac:dyDescent="0.3">
      <c r="A32" t="s">
        <v>15</v>
      </c>
      <c r="B32" s="2">
        <v>1251.51</v>
      </c>
    </row>
    <row r="33" spans="1:4" hidden="1" x14ac:dyDescent="0.3">
      <c r="A33" t="s">
        <v>17</v>
      </c>
      <c r="B33" s="15">
        <v>49222</v>
      </c>
    </row>
    <row r="34" spans="1:4" hidden="1" x14ac:dyDescent="0.3"/>
    <row r="35" spans="1:4" hidden="1" x14ac:dyDescent="0.3"/>
    <row r="36" spans="1:4" hidden="1" x14ac:dyDescent="0.3">
      <c r="A36" t="s">
        <v>20</v>
      </c>
      <c r="B36" s="2">
        <v>76936.3</v>
      </c>
    </row>
    <row r="37" spans="1:4" hidden="1" x14ac:dyDescent="0.3">
      <c r="A37" t="s">
        <v>21</v>
      </c>
      <c r="B37" s="2">
        <v>58.6</v>
      </c>
      <c r="C37" s="2">
        <f>+B37+1251.51</f>
        <v>1310.1099999999999</v>
      </c>
      <c r="D37" s="2"/>
    </row>
    <row r="38" spans="1:4" hidden="1" x14ac:dyDescent="0.3">
      <c r="A38" t="s">
        <v>17</v>
      </c>
      <c r="B38" s="15">
        <v>49222</v>
      </c>
      <c r="C38" s="15">
        <v>51048</v>
      </c>
      <c r="D38" s="15"/>
    </row>
    <row r="39" spans="1:4" hidden="1" x14ac:dyDescent="0.3"/>
    <row r="40" spans="1:4" hidden="1" x14ac:dyDescent="0.3">
      <c r="A40" t="s">
        <v>22</v>
      </c>
      <c r="B40">
        <v>66.03</v>
      </c>
    </row>
    <row r="42" spans="1:4" x14ac:dyDescent="0.3">
      <c r="A42" t="s">
        <v>16</v>
      </c>
      <c r="B42" s="2">
        <v>17244.23</v>
      </c>
    </row>
    <row r="43" spans="1:4" x14ac:dyDescent="0.3">
      <c r="A43" t="s">
        <v>15</v>
      </c>
      <c r="B43" s="2">
        <v>864.63</v>
      </c>
    </row>
    <row r="44" spans="1:4" x14ac:dyDescent="0.3">
      <c r="A44" t="s">
        <v>17</v>
      </c>
      <c r="B44" s="15">
        <v>46599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3:E37"/>
  <sheetViews>
    <sheetView workbookViewId="0">
      <selection activeCell="D15" sqref="D15"/>
    </sheetView>
  </sheetViews>
  <sheetFormatPr baseColWidth="10" defaultRowHeight="14.4" x14ac:dyDescent="0.3"/>
  <cols>
    <col min="1" max="1" width="32.88671875" customWidth="1"/>
    <col min="2" max="2" width="11.21875" bestFit="1" customWidth="1"/>
    <col min="5" max="5" width="12.109375" bestFit="1" customWidth="1"/>
  </cols>
  <sheetData>
    <row r="3" spans="1:5" x14ac:dyDescent="0.3">
      <c r="D3" t="s">
        <v>18</v>
      </c>
      <c r="E3" s="4"/>
    </row>
    <row r="4" spans="1:5" x14ac:dyDescent="0.3">
      <c r="A4" s="9" t="s">
        <v>0</v>
      </c>
      <c r="B4" s="9"/>
      <c r="D4" s="11">
        <v>7153.46</v>
      </c>
      <c r="E4" s="11"/>
    </row>
    <row r="5" spans="1:5" x14ac:dyDescent="0.3">
      <c r="A5" s="9" t="s">
        <v>1</v>
      </c>
      <c r="B5" s="9"/>
      <c r="C5" s="9"/>
      <c r="D5" s="9">
        <f>+D4*0.55</f>
        <v>3934.4030000000002</v>
      </c>
      <c r="E5" s="11"/>
    </row>
    <row r="6" spans="1:5" x14ac:dyDescent="0.3">
      <c r="A6" s="9"/>
      <c r="B6" s="9"/>
      <c r="C6" s="9"/>
      <c r="D6" s="9"/>
      <c r="E6" s="11"/>
    </row>
    <row r="7" spans="1:5" x14ac:dyDescent="0.3">
      <c r="A7" s="9"/>
      <c r="B7" s="9"/>
      <c r="C7" s="9"/>
      <c r="D7" s="9"/>
      <c r="E7" s="11"/>
    </row>
    <row r="8" spans="1:5" x14ac:dyDescent="0.3">
      <c r="A8" s="9"/>
      <c r="B8" s="9"/>
      <c r="C8" s="9"/>
      <c r="D8" s="9"/>
      <c r="E8" s="11"/>
    </row>
    <row r="9" spans="1:5" x14ac:dyDescent="0.3">
      <c r="A9" s="9" t="s">
        <v>36</v>
      </c>
      <c r="B9" s="9"/>
      <c r="C9" s="9"/>
      <c r="D9" s="45"/>
      <c r="E9" s="11"/>
    </row>
    <row r="10" spans="1:5" x14ac:dyDescent="0.3">
      <c r="A10" s="12"/>
      <c r="B10" s="12"/>
      <c r="C10" s="12"/>
      <c r="D10" s="12"/>
      <c r="E10" s="14"/>
    </row>
    <row r="11" spans="1:5" x14ac:dyDescent="0.3">
      <c r="A11" t="s">
        <v>14</v>
      </c>
      <c r="D11" s="16">
        <f>SUM(D4:D10)</f>
        <v>11087.863000000001</v>
      </c>
      <c r="E11" s="3"/>
    </row>
    <row r="12" spans="1:5" x14ac:dyDescent="0.3">
      <c r="E12" s="3"/>
    </row>
    <row r="13" spans="1:5" x14ac:dyDescent="0.3">
      <c r="A13" t="s">
        <v>13</v>
      </c>
      <c r="D13" s="8">
        <v>0.33</v>
      </c>
      <c r="E13" s="3"/>
    </row>
    <row r="14" spans="1:5" x14ac:dyDescent="0.3">
      <c r="A14" t="s">
        <v>74</v>
      </c>
      <c r="D14" s="2">
        <f>+D11*D13</f>
        <v>3658.9947900000006</v>
      </c>
      <c r="E14" s="3"/>
    </row>
    <row r="15" spans="1:5" x14ac:dyDescent="0.3">
      <c r="D15" s="2"/>
      <c r="E15" s="3"/>
    </row>
    <row r="17" spans="1:4" x14ac:dyDescent="0.3">
      <c r="A17" t="s">
        <v>12</v>
      </c>
    </row>
    <row r="18" spans="1:4" x14ac:dyDescent="0.3">
      <c r="A18" t="s">
        <v>12</v>
      </c>
    </row>
    <row r="20" spans="1:4" x14ac:dyDescent="0.3">
      <c r="A20" t="s">
        <v>14</v>
      </c>
    </row>
    <row r="24" spans="1:4" x14ac:dyDescent="0.3">
      <c r="A24" t="s">
        <v>16</v>
      </c>
      <c r="B24" s="2">
        <v>129493.59</v>
      </c>
    </row>
    <row r="25" spans="1:4" x14ac:dyDescent="0.3">
      <c r="A25" t="s">
        <v>15</v>
      </c>
      <c r="B25" s="2">
        <v>1251.51</v>
      </c>
      <c r="D25" s="40">
        <f>+B25</f>
        <v>1251.51</v>
      </c>
    </row>
    <row r="26" spans="1:4" x14ac:dyDescent="0.3">
      <c r="A26" t="s">
        <v>17</v>
      </c>
      <c r="B26" s="15">
        <v>49222</v>
      </c>
    </row>
    <row r="29" spans="1:4" x14ac:dyDescent="0.3">
      <c r="A29" t="s">
        <v>20</v>
      </c>
      <c r="B29" s="2">
        <v>76936.3</v>
      </c>
    </row>
    <row r="30" spans="1:4" x14ac:dyDescent="0.3">
      <c r="A30" t="s">
        <v>21</v>
      </c>
      <c r="B30" s="2">
        <v>58.6</v>
      </c>
      <c r="C30" s="2">
        <f>+B30+1251.51</f>
        <v>1310.1099999999999</v>
      </c>
      <c r="D30" s="2">
        <f>+B30</f>
        <v>58.6</v>
      </c>
    </row>
    <row r="31" spans="1:4" x14ac:dyDescent="0.3">
      <c r="A31" t="s">
        <v>17</v>
      </c>
      <c r="B31" s="15">
        <v>49222</v>
      </c>
      <c r="C31" s="15">
        <v>51048</v>
      </c>
      <c r="D31" s="15"/>
    </row>
    <row r="33" spans="1:4" x14ac:dyDescent="0.3">
      <c r="A33" t="s">
        <v>22</v>
      </c>
      <c r="B33">
        <v>66.03</v>
      </c>
      <c r="D33">
        <f>+B33</f>
        <v>66.03</v>
      </c>
    </row>
    <row r="35" spans="1:4" x14ac:dyDescent="0.3">
      <c r="A35" s="41" t="s">
        <v>21</v>
      </c>
      <c r="B35" s="42"/>
      <c r="C35" s="41"/>
      <c r="D35" s="43">
        <f>SUM(D25:D34)</f>
        <v>1376.1399999999999</v>
      </c>
    </row>
    <row r="36" spans="1:4" x14ac:dyDescent="0.3">
      <c r="B36" s="2"/>
    </row>
    <row r="37" spans="1:4" x14ac:dyDescent="0.3">
      <c r="A37" s="27" t="s">
        <v>75</v>
      </c>
      <c r="B37" s="15"/>
      <c r="D37" s="44">
        <f>+D14-D35</f>
        <v>2282.8547900000008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4:K17"/>
  <sheetViews>
    <sheetView workbookViewId="0">
      <selection activeCell="E15" sqref="E15"/>
    </sheetView>
  </sheetViews>
  <sheetFormatPr baseColWidth="10" defaultRowHeight="14.4" x14ac:dyDescent="0.3"/>
  <cols>
    <col min="1" max="1" width="30.77734375" bestFit="1" customWidth="1"/>
    <col min="2" max="2" width="13" bestFit="1" customWidth="1"/>
    <col min="10" max="10" width="11.5546875" style="27"/>
  </cols>
  <sheetData>
    <row r="4" spans="1:11" s="85" customFormat="1" x14ac:dyDescent="0.3">
      <c r="A4" s="82"/>
      <c r="B4" s="83" t="s">
        <v>91</v>
      </c>
      <c r="C4" s="83" t="s">
        <v>90</v>
      </c>
      <c r="D4" s="86" t="s">
        <v>89</v>
      </c>
      <c r="E4" s="89" t="s">
        <v>94</v>
      </c>
      <c r="F4" s="84" t="s">
        <v>90</v>
      </c>
      <c r="G4" s="90" t="s">
        <v>93</v>
      </c>
      <c r="H4" s="100" t="s">
        <v>92</v>
      </c>
      <c r="I4" s="102" t="s">
        <v>105</v>
      </c>
      <c r="J4" s="102" t="s">
        <v>104</v>
      </c>
      <c r="K4" s="103" t="s">
        <v>106</v>
      </c>
    </row>
    <row r="5" spans="1:11" x14ac:dyDescent="0.3">
      <c r="A5" s="30" t="s">
        <v>103</v>
      </c>
      <c r="B5" s="31">
        <v>29.12</v>
      </c>
      <c r="C5" s="31">
        <v>856</v>
      </c>
      <c r="D5" s="51">
        <f>+B5*C5</f>
        <v>24926.720000000001</v>
      </c>
      <c r="E5" s="30">
        <v>31.72</v>
      </c>
      <c r="F5" s="31">
        <v>856</v>
      </c>
      <c r="G5" s="51">
        <f>+E5*F5</f>
        <v>27152.32</v>
      </c>
      <c r="H5" s="62">
        <v>4534.3999999999996</v>
      </c>
      <c r="I5" s="111"/>
      <c r="J5" s="32"/>
      <c r="K5" s="112">
        <f>+G5*1.66/100</f>
        <v>450.72851199999997</v>
      </c>
    </row>
    <row r="6" spans="1:11" x14ac:dyDescent="0.3">
      <c r="A6" s="87" t="s">
        <v>103</v>
      </c>
      <c r="B6" s="28">
        <v>29.12</v>
      </c>
      <c r="C6" s="28">
        <v>888</v>
      </c>
      <c r="D6" s="47">
        <f t="shared" ref="D6:D7" si="0">+B6*C6</f>
        <v>25858.560000000001</v>
      </c>
      <c r="E6" s="87">
        <v>31.72</v>
      </c>
      <c r="F6" s="28">
        <v>888</v>
      </c>
      <c r="G6" s="47">
        <f>+E6*F6</f>
        <v>28167.360000000001</v>
      </c>
      <c r="H6" s="33">
        <v>4534.3999999999996</v>
      </c>
      <c r="I6" s="93"/>
      <c r="J6" s="91"/>
      <c r="K6" s="95">
        <f t="shared" ref="K6:K10" si="1">+G6*1.66/100</f>
        <v>467.57817600000004</v>
      </c>
    </row>
    <row r="7" spans="1:11" x14ac:dyDescent="0.3">
      <c r="A7" s="88" t="s">
        <v>88</v>
      </c>
      <c r="B7" s="29">
        <v>51.75</v>
      </c>
      <c r="C7" s="29">
        <v>102</v>
      </c>
      <c r="D7" s="49">
        <f t="shared" si="0"/>
        <v>5278.5</v>
      </c>
      <c r="E7" s="88">
        <v>34.340000000000003</v>
      </c>
      <c r="F7" s="29">
        <v>102</v>
      </c>
      <c r="G7" s="49">
        <f>+E7*F7</f>
        <v>3502.6800000000003</v>
      </c>
      <c r="H7" s="35">
        <v>-1775.82</v>
      </c>
      <c r="I7" s="94"/>
      <c r="J7" s="92"/>
      <c r="K7" s="96">
        <f t="shared" si="1"/>
        <v>58.144488000000003</v>
      </c>
    </row>
    <row r="8" spans="1:11" s="81" customFormat="1" x14ac:dyDescent="0.3">
      <c r="A8" s="104"/>
      <c r="B8" s="105"/>
      <c r="C8" s="105"/>
      <c r="D8" s="105"/>
      <c r="E8" s="105"/>
      <c r="F8" s="105"/>
      <c r="G8" s="106">
        <f>SUM(G5:G7)</f>
        <v>58822.36</v>
      </c>
      <c r="H8" s="106">
        <f>SUM(H5:H7)</f>
        <v>7292.98</v>
      </c>
      <c r="I8" s="107">
        <f>+H8*0.65</f>
        <v>4740.4369999999999</v>
      </c>
      <c r="J8" s="108">
        <f>(+H8-H8*65/100)*30/100</f>
        <v>765.76289999999995</v>
      </c>
      <c r="K8" s="109">
        <f t="shared" si="1"/>
        <v>976.45117600000003</v>
      </c>
    </row>
    <row r="9" spans="1:11" x14ac:dyDescent="0.3">
      <c r="A9" s="87" t="s">
        <v>101</v>
      </c>
      <c r="B9" s="28">
        <v>34.933999999999997</v>
      </c>
      <c r="C9" s="28">
        <v>935</v>
      </c>
      <c r="D9" s="28">
        <f>B9*C9</f>
        <v>32663.289999999997</v>
      </c>
      <c r="E9" s="28">
        <v>60.628</v>
      </c>
      <c r="F9" s="28">
        <v>935</v>
      </c>
      <c r="G9" s="28">
        <f>E9*F9</f>
        <v>56687.18</v>
      </c>
      <c r="H9" s="99">
        <v>24024.78</v>
      </c>
      <c r="I9" s="97">
        <f>+H9*0.65</f>
        <v>15616.107</v>
      </c>
      <c r="J9" s="95">
        <f t="shared" ref="J9:J10" si="2">(+H9-H9*65/100)*30/100</f>
        <v>2522.6018999999997</v>
      </c>
      <c r="K9" s="95">
        <f t="shared" si="1"/>
        <v>941.00718800000004</v>
      </c>
    </row>
    <row r="10" spans="1:11" x14ac:dyDescent="0.3">
      <c r="A10" s="88" t="s">
        <v>102</v>
      </c>
      <c r="B10" s="29">
        <v>15.42</v>
      </c>
      <c r="C10" s="29">
        <v>512</v>
      </c>
      <c r="D10" s="29">
        <f>B10*C10</f>
        <v>7895.04</v>
      </c>
      <c r="E10" s="29">
        <v>15.47</v>
      </c>
      <c r="F10" s="29">
        <v>512</v>
      </c>
      <c r="G10" s="29">
        <f>E10*F10</f>
        <v>7920.64</v>
      </c>
      <c r="H10" s="101">
        <v>29.78</v>
      </c>
      <c r="I10" s="98">
        <f>+(H10*0.65)</f>
        <v>19.357000000000003</v>
      </c>
      <c r="J10" s="96">
        <f t="shared" si="2"/>
        <v>3.1269000000000005</v>
      </c>
      <c r="K10" s="96">
        <f t="shared" si="1"/>
        <v>131.48262399999999</v>
      </c>
    </row>
    <row r="11" spans="1:11" s="81" customFormat="1" x14ac:dyDescent="0.3">
      <c r="A11" s="113" t="s">
        <v>107</v>
      </c>
      <c r="B11" s="114"/>
      <c r="C11" s="114"/>
      <c r="D11" s="114"/>
      <c r="E11" s="114"/>
      <c r="F11" s="114"/>
      <c r="G11" s="115">
        <f>SUM(G8:G10)</f>
        <v>123430.18000000001</v>
      </c>
      <c r="H11" s="115">
        <f>SUM(H8:H10)</f>
        <v>31347.539999999997</v>
      </c>
      <c r="I11" s="116">
        <f>+H11*0.65</f>
        <v>20375.900999999998</v>
      </c>
      <c r="J11" s="117">
        <f>(+H11-H11*65/100)*30/100</f>
        <v>3291.4917</v>
      </c>
      <c r="K11" s="118">
        <f>+G11*1.66/100</f>
        <v>2048.9409880000003</v>
      </c>
    </row>
    <row r="12" spans="1:11" s="81" customFormat="1" x14ac:dyDescent="0.3">
      <c r="A12" s="105"/>
      <c r="B12" s="105"/>
      <c r="C12" s="105"/>
      <c r="D12" s="105"/>
      <c r="E12" s="105"/>
      <c r="F12" s="105"/>
      <c r="G12" s="106"/>
      <c r="H12" s="106"/>
      <c r="I12" s="106"/>
      <c r="J12" s="106"/>
      <c r="K12" s="110"/>
    </row>
    <row r="13" spans="1:11" s="81" customFormat="1" x14ac:dyDescent="0.3">
      <c r="A13" s="105"/>
      <c r="B13" s="105"/>
      <c r="C13" s="105"/>
      <c r="D13" s="105"/>
      <c r="E13" s="105"/>
      <c r="F13" s="105"/>
      <c r="G13" s="106"/>
      <c r="H13" s="106"/>
      <c r="I13" s="106"/>
      <c r="J13" s="106"/>
      <c r="K13" s="110"/>
    </row>
    <row r="14" spans="1:11" x14ac:dyDescent="0.3">
      <c r="A14" t="s">
        <v>96</v>
      </c>
    </row>
    <row r="16" spans="1:11" x14ac:dyDescent="0.3">
      <c r="A16" t="s">
        <v>97</v>
      </c>
      <c r="C16" t="s">
        <v>99</v>
      </c>
    </row>
    <row r="17" spans="1:3" x14ac:dyDescent="0.3">
      <c r="A17" t="s">
        <v>98</v>
      </c>
      <c r="C17"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8"/>
  <sheetViews>
    <sheetView workbookViewId="0">
      <selection activeCell="F18" sqref="F18"/>
    </sheetView>
  </sheetViews>
  <sheetFormatPr baseColWidth="10" defaultRowHeight="14.4" x14ac:dyDescent="0.3"/>
  <cols>
    <col min="4" max="4" width="13.88671875" bestFit="1" customWidth="1"/>
  </cols>
  <sheetData>
    <row r="1" spans="1:17" s="27" customFormat="1" x14ac:dyDescent="0.3">
      <c r="D1" s="27" t="s">
        <v>73</v>
      </c>
      <c r="E1" s="27" t="s">
        <v>77</v>
      </c>
    </row>
    <row r="2" spans="1:17" s="27" customFormat="1" x14ac:dyDescent="0.3">
      <c r="G2" s="27">
        <v>2025</v>
      </c>
    </row>
    <row r="3" spans="1:17" x14ac:dyDescent="0.3">
      <c r="C3" t="s">
        <v>19</v>
      </c>
      <c r="D3" s="2">
        <f>30495.36</f>
        <v>30495.360000000001</v>
      </c>
      <c r="E3" s="2">
        <f>+D3*10%</f>
        <v>3049.5360000000001</v>
      </c>
      <c r="F3" s="2">
        <f>+D3-E3</f>
        <v>27445.824000000001</v>
      </c>
    </row>
    <row r="4" spans="1:17" s="27" customFormat="1" x14ac:dyDescent="0.3">
      <c r="D4" s="2">
        <f>1120*12</f>
        <v>13440</v>
      </c>
      <c r="E4" s="2"/>
      <c r="F4" s="2">
        <f t="shared" ref="F4:F5" si="0">+D4-E4</f>
        <v>13440</v>
      </c>
    </row>
    <row r="5" spans="1:17" s="27" customFormat="1" x14ac:dyDescent="0.3">
      <c r="C5" s="27" t="s">
        <v>18</v>
      </c>
      <c r="D5" s="2">
        <v>75801.39</v>
      </c>
      <c r="E5" s="2">
        <f t="shared" ref="E5" si="1">+D5*10%</f>
        <v>7580.1390000000001</v>
      </c>
      <c r="F5" s="2">
        <f t="shared" si="0"/>
        <v>68221.251000000004</v>
      </c>
    </row>
    <row r="6" spans="1:17" s="27" customFormat="1" x14ac:dyDescent="0.3">
      <c r="D6" s="2">
        <f>SUM(D3:D5)</f>
        <v>119736.75</v>
      </c>
      <c r="E6" s="2"/>
      <c r="F6" s="2">
        <f>SUM(F3:F5)</f>
        <v>109107.07500000001</v>
      </c>
    </row>
    <row r="7" spans="1:17" x14ac:dyDescent="0.3">
      <c r="A7" t="s">
        <v>71</v>
      </c>
    </row>
    <row r="8" spans="1:17" x14ac:dyDescent="0.3">
      <c r="F8" s="26" t="s">
        <v>80</v>
      </c>
      <c r="K8" s="26" t="s">
        <v>79</v>
      </c>
    </row>
    <row r="9" spans="1:17" x14ac:dyDescent="0.3">
      <c r="B9" s="37" t="s">
        <v>69</v>
      </c>
      <c r="C9" s="38"/>
      <c r="D9" s="39" t="s">
        <v>70</v>
      </c>
      <c r="F9" s="26">
        <v>1</v>
      </c>
      <c r="G9" s="37" t="s">
        <v>69</v>
      </c>
      <c r="H9" s="38"/>
      <c r="I9" s="38" t="s">
        <v>70</v>
      </c>
      <c r="J9" s="39"/>
      <c r="K9" s="26">
        <v>1</v>
      </c>
      <c r="L9" s="37" t="s">
        <v>69</v>
      </c>
      <c r="M9" s="38"/>
      <c r="N9" s="38" t="s">
        <v>70</v>
      </c>
      <c r="O9" s="39"/>
    </row>
    <row r="10" spans="1:17" x14ac:dyDescent="0.3">
      <c r="B10" s="33">
        <v>11497</v>
      </c>
      <c r="C10" s="11"/>
      <c r="D10" s="34">
        <v>0</v>
      </c>
      <c r="E10" s="2">
        <f>+B10*D10</f>
        <v>0</v>
      </c>
      <c r="G10" s="33">
        <v>11497</v>
      </c>
      <c r="H10" s="11"/>
      <c r="I10" s="46">
        <v>0</v>
      </c>
      <c r="J10" s="47">
        <f>+G10*I10</f>
        <v>0</v>
      </c>
      <c r="L10" s="33">
        <v>11497</v>
      </c>
      <c r="M10" s="11"/>
      <c r="N10" s="46">
        <v>0</v>
      </c>
      <c r="O10" s="47">
        <f>+L10*N10</f>
        <v>0</v>
      </c>
    </row>
    <row r="11" spans="1:17" x14ac:dyDescent="0.3">
      <c r="B11" s="33">
        <v>11497</v>
      </c>
      <c r="C11" s="11">
        <v>29315</v>
      </c>
      <c r="D11" s="34">
        <v>0.11</v>
      </c>
      <c r="E11" s="2">
        <f>+(C11-B11)*D11</f>
        <v>1959.98</v>
      </c>
      <c r="G11" s="33">
        <v>11497</v>
      </c>
      <c r="H11" s="11">
        <v>29315</v>
      </c>
      <c r="I11" s="46">
        <v>0.11</v>
      </c>
      <c r="J11" s="47">
        <f>+(H11-G11)*I11</f>
        <v>1959.98</v>
      </c>
      <c r="L11" s="33">
        <v>11497</v>
      </c>
      <c r="M11" s="11">
        <v>29315</v>
      </c>
      <c r="N11" s="46">
        <v>0.11</v>
      </c>
      <c r="O11" s="47">
        <f>+(M11-L11)*N11</f>
        <v>1959.98</v>
      </c>
    </row>
    <row r="12" spans="1:17" x14ac:dyDescent="0.3">
      <c r="B12" s="33">
        <v>28316</v>
      </c>
      <c r="C12" s="11">
        <v>83823</v>
      </c>
      <c r="D12" s="34">
        <v>0.3</v>
      </c>
      <c r="E12" s="2">
        <f>+(C12-B12)*D12</f>
        <v>16652.099999999999</v>
      </c>
      <c r="G12" s="33">
        <v>28316</v>
      </c>
      <c r="H12" s="11">
        <f>+F4+F3</f>
        <v>40885.824000000001</v>
      </c>
      <c r="I12" s="46">
        <v>0.3</v>
      </c>
      <c r="J12" s="47">
        <f>+(H12-G12)*I12</f>
        <v>3770.9472000000001</v>
      </c>
      <c r="L12" s="33">
        <v>28316</v>
      </c>
      <c r="M12" s="11">
        <f>+F5</f>
        <v>68221.251000000004</v>
      </c>
      <c r="N12" s="46">
        <v>0.3</v>
      </c>
      <c r="O12" s="47">
        <f>+(M12-L12)*N12</f>
        <v>11971.5753</v>
      </c>
    </row>
    <row r="13" spans="1:17" x14ac:dyDescent="0.3">
      <c r="B13" s="33">
        <v>83824</v>
      </c>
      <c r="C13" s="11">
        <v>180294</v>
      </c>
      <c r="D13" s="34">
        <v>0.41</v>
      </c>
      <c r="E13" s="2">
        <f t="shared" ref="E13" si="2">+(C13-B13)*D13</f>
        <v>39552.699999999997</v>
      </c>
      <c r="G13" s="33"/>
      <c r="H13" s="11"/>
      <c r="I13" s="46">
        <v>0.41</v>
      </c>
      <c r="J13" s="47">
        <f t="shared" ref="J13" si="3">+(H13-G13)*I13</f>
        <v>0</v>
      </c>
      <c r="L13" s="33"/>
      <c r="M13" s="11"/>
      <c r="N13" s="46">
        <v>0.41</v>
      </c>
      <c r="O13" s="47">
        <f t="shared" ref="O13" si="4">+(M13-L13)*N13</f>
        <v>0</v>
      </c>
    </row>
    <row r="14" spans="1:17" x14ac:dyDescent="0.3">
      <c r="B14" s="35">
        <v>180294</v>
      </c>
      <c r="C14" s="14"/>
      <c r="D14" s="36">
        <v>0.45</v>
      </c>
      <c r="E14" s="2"/>
      <c r="G14" s="35"/>
      <c r="H14" s="14"/>
      <c r="I14" s="48">
        <v>0.45</v>
      </c>
      <c r="J14" s="49"/>
      <c r="L14" s="35"/>
      <c r="M14" s="14"/>
      <c r="N14" s="48">
        <v>0.45</v>
      </c>
      <c r="O14" s="49"/>
    </row>
    <row r="15" spans="1:17" x14ac:dyDescent="0.3">
      <c r="E15" s="2"/>
      <c r="J15" s="16">
        <f>SUM(J10:J14)</f>
        <v>5730.9272000000001</v>
      </c>
      <c r="O15" s="16">
        <f>SUM(O10:O14)</f>
        <v>13931.5553</v>
      </c>
      <c r="Q15" s="16">
        <f>+J15+O15</f>
        <v>19662.482499999998</v>
      </c>
    </row>
    <row r="17" spans="1:15" x14ac:dyDescent="0.3">
      <c r="M17" s="16">
        <f>C12-M12</f>
        <v>15601.748999999996</v>
      </c>
    </row>
    <row r="18" spans="1:15" x14ac:dyDescent="0.3">
      <c r="F18">
        <f>+F6/2.5</f>
        <v>43642.83</v>
      </c>
    </row>
    <row r="19" spans="1:15" s="27" customFormat="1" x14ac:dyDescent="0.3">
      <c r="A19" s="27" t="s">
        <v>68</v>
      </c>
    </row>
    <row r="20" spans="1:15" s="27" customFormat="1" x14ac:dyDescent="0.3">
      <c r="F20" s="26" t="s">
        <v>72</v>
      </c>
    </row>
    <row r="21" spans="1:15" s="27" customFormat="1" x14ac:dyDescent="0.3">
      <c r="B21" s="37" t="s">
        <v>69</v>
      </c>
      <c r="C21" s="38"/>
      <c r="D21" s="39" t="s">
        <v>70</v>
      </c>
      <c r="F21" s="26">
        <v>2.5</v>
      </c>
      <c r="G21" s="27" t="s">
        <v>69</v>
      </c>
      <c r="I21" s="27" t="s">
        <v>70</v>
      </c>
    </row>
    <row r="22" spans="1:15" s="27" customFormat="1" x14ac:dyDescent="0.3">
      <c r="B22" s="33">
        <v>11497</v>
      </c>
      <c r="C22" s="11"/>
      <c r="D22" s="34">
        <v>0</v>
      </c>
      <c r="G22" s="3">
        <v>11497</v>
      </c>
      <c r="H22" s="3"/>
      <c r="I22" s="17">
        <v>0</v>
      </c>
      <c r="J22" s="3">
        <f>+G22*I22</f>
        <v>0</v>
      </c>
    </row>
    <row r="23" spans="1:15" s="27" customFormat="1" x14ac:dyDescent="0.3">
      <c r="B23" s="33">
        <v>11497</v>
      </c>
      <c r="C23" s="11">
        <v>29315</v>
      </c>
      <c r="D23" s="34">
        <v>0.11</v>
      </c>
      <c r="G23" s="3">
        <v>11497</v>
      </c>
      <c r="H23" s="3">
        <v>29315</v>
      </c>
      <c r="I23" s="17">
        <v>0.11</v>
      </c>
      <c r="J23" s="3">
        <f>+(H23-G23)*I23</f>
        <v>1959.98</v>
      </c>
    </row>
    <row r="24" spans="1:15" s="27" customFormat="1" x14ac:dyDescent="0.3">
      <c r="B24" s="33">
        <v>28316</v>
      </c>
      <c r="C24" s="11">
        <v>83823</v>
      </c>
      <c r="D24" s="34">
        <v>0.3</v>
      </c>
      <c r="G24" s="3">
        <v>28316</v>
      </c>
      <c r="H24" s="3">
        <f>+F18</f>
        <v>43642.83</v>
      </c>
      <c r="I24" s="17">
        <v>0.3</v>
      </c>
      <c r="J24" s="3">
        <f>+(H24-G24)*I24</f>
        <v>4598.049</v>
      </c>
    </row>
    <row r="25" spans="1:15" s="27" customFormat="1" x14ac:dyDescent="0.3">
      <c r="B25" s="33">
        <v>83824</v>
      </c>
      <c r="C25" s="11">
        <v>180294</v>
      </c>
      <c r="D25" s="34">
        <v>0.41</v>
      </c>
      <c r="G25" s="3"/>
      <c r="H25" s="3"/>
      <c r="I25" s="17">
        <v>0.41</v>
      </c>
      <c r="J25" s="3">
        <f t="shared" ref="J25" si="5">+(H25-G25)*I25</f>
        <v>0</v>
      </c>
    </row>
    <row r="26" spans="1:15" s="27" customFormat="1" x14ac:dyDescent="0.3">
      <c r="B26" s="35">
        <v>180294</v>
      </c>
      <c r="C26" s="14"/>
      <c r="D26" s="36">
        <v>0.45</v>
      </c>
      <c r="G26" s="3"/>
      <c r="H26" s="3"/>
      <c r="I26" s="17">
        <v>0.45</v>
      </c>
      <c r="J26" s="3"/>
    </row>
    <row r="27" spans="1:15" s="27" customFormat="1" x14ac:dyDescent="0.3">
      <c r="J27" s="16">
        <f>SUM(J22:J26)</f>
        <v>6558.0290000000005</v>
      </c>
    </row>
    <row r="28" spans="1:15" s="27" customFormat="1" x14ac:dyDescent="0.3"/>
    <row r="29" spans="1:15" x14ac:dyDescent="0.3">
      <c r="H29" t="s">
        <v>78</v>
      </c>
      <c r="J29" s="2">
        <f>+J27*2.5</f>
        <v>16395.072500000002</v>
      </c>
      <c r="K29" s="27"/>
      <c r="L29" s="27"/>
      <c r="M29" s="27"/>
      <c r="N29" s="27"/>
      <c r="O29" s="27"/>
    </row>
    <row r="33" spans="5:8" x14ac:dyDescent="0.3">
      <c r="E33" s="30"/>
      <c r="F33" s="31"/>
      <c r="G33" s="31"/>
      <c r="H33" s="51">
        <f>+C24-H24</f>
        <v>40180.17</v>
      </c>
    </row>
    <row r="34" spans="5:8" x14ac:dyDescent="0.3">
      <c r="E34" s="52" t="s">
        <v>76</v>
      </c>
      <c r="F34" s="29"/>
      <c r="G34" s="29"/>
      <c r="H34" s="53">
        <v>2.5</v>
      </c>
    </row>
    <row r="35" spans="5:8" ht="16.2" customHeight="1" x14ac:dyDescent="0.3">
      <c r="E35" s="50" t="s">
        <v>81</v>
      </c>
      <c r="H35" s="3">
        <f>+H33*H34</f>
        <v>100450.42499999999</v>
      </c>
    </row>
    <row r="37" spans="5:8" x14ac:dyDescent="0.3">
      <c r="E37" t="s">
        <v>18</v>
      </c>
    </row>
    <row r="38" spans="5:8" x14ac:dyDescent="0.3">
      <c r="E38" t="s">
        <v>19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workbookViewId="0">
      <selection activeCell="H7" sqref="H7"/>
    </sheetView>
  </sheetViews>
  <sheetFormatPr baseColWidth="10" defaultRowHeight="14.4" x14ac:dyDescent="0.3"/>
  <cols>
    <col min="1" max="1" width="16.5546875" bestFit="1" customWidth="1"/>
    <col min="5" max="5" width="11.5546875" style="27"/>
    <col min="6" max="6" width="16.109375" bestFit="1" customWidth="1"/>
    <col min="7" max="7" width="9.33203125" customWidth="1"/>
    <col min="10" max="10" width="16.109375" customWidth="1"/>
    <col min="11" max="11" width="16.109375" bestFit="1" customWidth="1"/>
    <col min="12" max="12" width="9" customWidth="1"/>
  </cols>
  <sheetData>
    <row r="1" spans="1:14" x14ac:dyDescent="0.3">
      <c r="A1" t="s">
        <v>25</v>
      </c>
    </row>
    <row r="2" spans="1:14" x14ac:dyDescent="0.3">
      <c r="A2" s="55"/>
      <c r="B2" s="251" t="s">
        <v>27</v>
      </c>
      <c r="C2" s="251"/>
      <c r="D2" s="56"/>
      <c r="E2" s="174"/>
      <c r="F2" s="255" t="s">
        <v>31</v>
      </c>
      <c r="G2" s="255"/>
      <c r="H2" s="255"/>
      <c r="I2" s="67" t="s">
        <v>82</v>
      </c>
      <c r="J2" s="70"/>
      <c r="K2" s="252" t="s">
        <v>30</v>
      </c>
      <c r="L2" s="253"/>
      <c r="M2" s="254"/>
      <c r="N2" s="74" t="s">
        <v>82</v>
      </c>
    </row>
    <row r="3" spans="1:14" x14ac:dyDescent="0.3">
      <c r="A3" s="57" t="s">
        <v>26</v>
      </c>
      <c r="B3" s="58">
        <v>0.2</v>
      </c>
      <c r="C3" s="58">
        <v>0.45</v>
      </c>
      <c r="D3" s="59" t="s">
        <v>28</v>
      </c>
      <c r="E3" s="175"/>
      <c r="F3" s="68" t="s">
        <v>29</v>
      </c>
      <c r="G3" s="68" t="s">
        <v>34</v>
      </c>
      <c r="H3" s="68" t="s">
        <v>21</v>
      </c>
      <c r="I3" s="69" t="s">
        <v>83</v>
      </c>
      <c r="J3" s="71" t="s">
        <v>35</v>
      </c>
      <c r="K3" s="75" t="s">
        <v>29</v>
      </c>
      <c r="L3" s="60" t="s">
        <v>34</v>
      </c>
      <c r="M3" s="61" t="s">
        <v>21</v>
      </c>
      <c r="N3" s="76" t="s">
        <v>83</v>
      </c>
    </row>
    <row r="4" spans="1:14" x14ac:dyDescent="0.3">
      <c r="A4" s="62">
        <v>100000</v>
      </c>
      <c r="B4" s="63">
        <f>A4*$B$3</f>
        <v>20000</v>
      </c>
      <c r="C4" s="64">
        <f>+A4*$C$3</f>
        <v>45000</v>
      </c>
      <c r="D4" s="63">
        <f>+C4-B4</f>
        <v>25000</v>
      </c>
      <c r="E4" s="176">
        <v>3.5000000000000003E-2</v>
      </c>
      <c r="F4" s="63">
        <v>18102</v>
      </c>
      <c r="G4" s="66">
        <f>+(F4+J4*12*10)/A4</f>
        <v>0.21462000000000001</v>
      </c>
      <c r="H4" s="64">
        <v>984</v>
      </c>
      <c r="I4" s="64">
        <f t="shared" ref="I4:I9" si="0">+H4*100/33</f>
        <v>2981.818181818182</v>
      </c>
      <c r="J4" s="72">
        <f>+J6/2</f>
        <v>28</v>
      </c>
      <c r="K4" s="33">
        <v>39190</v>
      </c>
      <c r="L4" s="46">
        <f>+(K4+J4*12*20)/A4</f>
        <v>0.45910000000000001</v>
      </c>
      <c r="M4" s="77">
        <v>580</v>
      </c>
      <c r="N4" s="51">
        <f t="shared" ref="N4:N10" si="1">+M4*100/33</f>
        <v>1757.5757575757575</v>
      </c>
    </row>
    <row r="5" spans="1:14" x14ac:dyDescent="0.3">
      <c r="A5" s="33">
        <v>150000</v>
      </c>
      <c r="B5" s="65">
        <f>A5*$B$3</f>
        <v>30000</v>
      </c>
      <c r="C5" s="11">
        <f t="shared" ref="C5:C10" si="2">+A5*$C$3</f>
        <v>67500</v>
      </c>
      <c r="D5" s="65">
        <f t="shared" ref="D5:D10" si="3">+C5-B5</f>
        <v>37500</v>
      </c>
      <c r="E5" s="177"/>
      <c r="F5" s="65"/>
      <c r="G5" s="46"/>
      <c r="H5" s="11"/>
      <c r="I5" s="11">
        <f t="shared" si="0"/>
        <v>0</v>
      </c>
      <c r="J5" s="72"/>
      <c r="K5" s="33"/>
      <c r="L5" s="46"/>
      <c r="M5" s="77"/>
      <c r="N5" s="47">
        <f t="shared" si="1"/>
        <v>0</v>
      </c>
    </row>
    <row r="6" spans="1:14" x14ac:dyDescent="0.3">
      <c r="A6" s="33">
        <v>200000</v>
      </c>
      <c r="B6" s="65">
        <f t="shared" ref="B6:B10" si="4">A6*$B$3</f>
        <v>40000</v>
      </c>
      <c r="C6" s="11">
        <f t="shared" si="2"/>
        <v>90000</v>
      </c>
      <c r="D6" s="65">
        <f t="shared" si="3"/>
        <v>50000</v>
      </c>
      <c r="E6" s="177">
        <v>3.5000000000000003E-2</v>
      </c>
      <c r="F6" s="65">
        <v>36203</v>
      </c>
      <c r="G6" s="46">
        <f t="shared" ref="G6:G7" si="5">+(F6+J6*12*10)/A6</f>
        <v>0.214615</v>
      </c>
      <c r="H6" s="11">
        <v>1968</v>
      </c>
      <c r="I6" s="11">
        <f t="shared" si="0"/>
        <v>5963.636363636364</v>
      </c>
      <c r="J6" s="72">
        <v>56</v>
      </c>
      <c r="K6" s="33">
        <v>78381</v>
      </c>
      <c r="L6" s="46">
        <f>+(K6+J6*12*20)/A6</f>
        <v>0.45910499999999999</v>
      </c>
      <c r="M6" s="77">
        <v>1160</v>
      </c>
      <c r="N6" s="47">
        <f t="shared" si="1"/>
        <v>3515.151515151515</v>
      </c>
    </row>
    <row r="7" spans="1:14" x14ac:dyDescent="0.3">
      <c r="A7" s="33">
        <v>250000</v>
      </c>
      <c r="B7" s="65">
        <f t="shared" si="4"/>
        <v>50000</v>
      </c>
      <c r="C7" s="11">
        <f t="shared" si="2"/>
        <v>112500</v>
      </c>
      <c r="D7" s="65">
        <f t="shared" si="3"/>
        <v>62500</v>
      </c>
      <c r="E7" s="177">
        <v>0.04</v>
      </c>
      <c r="F7" s="65">
        <v>53736</v>
      </c>
      <c r="G7" s="46">
        <f t="shared" si="5"/>
        <v>0.214944</v>
      </c>
      <c r="H7" s="11">
        <v>2531</v>
      </c>
      <c r="I7" s="11">
        <f t="shared" si="0"/>
        <v>7669.69696969697</v>
      </c>
      <c r="J7" s="72"/>
      <c r="K7" s="33"/>
      <c r="L7" s="46"/>
      <c r="M7" s="77"/>
      <c r="N7" s="47">
        <f t="shared" si="1"/>
        <v>0</v>
      </c>
    </row>
    <row r="8" spans="1:14" x14ac:dyDescent="0.3">
      <c r="A8" s="33">
        <v>300000</v>
      </c>
      <c r="B8" s="65">
        <f t="shared" si="4"/>
        <v>60000</v>
      </c>
      <c r="C8" s="11">
        <f t="shared" si="2"/>
        <v>135000</v>
      </c>
      <c r="D8" s="65">
        <f t="shared" si="3"/>
        <v>75000</v>
      </c>
      <c r="E8" s="177">
        <v>3.5000000000000003E-2</v>
      </c>
      <c r="F8" s="65">
        <v>54305</v>
      </c>
      <c r="G8" s="46">
        <f>+(F8+J8*12*10)/A8</f>
        <v>0.21461666666666668</v>
      </c>
      <c r="H8" s="11">
        <v>2953</v>
      </c>
      <c r="I8" s="11">
        <f t="shared" si="0"/>
        <v>8948.484848484848</v>
      </c>
      <c r="J8" s="72">
        <f>+J6+J4</f>
        <v>84</v>
      </c>
      <c r="K8" s="33">
        <v>117571</v>
      </c>
      <c r="L8" s="46">
        <f>+(K8+J8*12*20)/A8</f>
        <v>0.45910333333333331</v>
      </c>
      <c r="M8" s="77">
        <v>1740</v>
      </c>
      <c r="N8" s="47">
        <f t="shared" si="1"/>
        <v>5272.727272727273</v>
      </c>
    </row>
    <row r="9" spans="1:14" x14ac:dyDescent="0.3">
      <c r="A9" s="33">
        <v>350000</v>
      </c>
      <c r="B9" s="65">
        <f t="shared" si="4"/>
        <v>70000</v>
      </c>
      <c r="C9" s="11">
        <f t="shared" si="2"/>
        <v>157500</v>
      </c>
      <c r="D9" s="65">
        <f t="shared" si="3"/>
        <v>87500</v>
      </c>
      <c r="E9" s="177"/>
      <c r="F9" s="65"/>
      <c r="G9" s="46"/>
      <c r="H9" s="11"/>
      <c r="I9" s="11">
        <f t="shared" si="0"/>
        <v>0</v>
      </c>
      <c r="J9" s="72"/>
      <c r="K9" s="33"/>
      <c r="L9" s="46"/>
      <c r="M9" s="77"/>
      <c r="N9" s="47">
        <f t="shared" si="1"/>
        <v>0</v>
      </c>
    </row>
    <row r="10" spans="1:14" x14ac:dyDescent="0.3">
      <c r="A10" s="35">
        <v>400000</v>
      </c>
      <c r="B10" s="54">
        <f t="shared" si="4"/>
        <v>80000</v>
      </c>
      <c r="C10" s="14">
        <f t="shared" si="2"/>
        <v>180000</v>
      </c>
      <c r="D10" s="54">
        <f t="shared" si="3"/>
        <v>100000</v>
      </c>
      <c r="E10" s="178">
        <v>3.5000000000000003E-2</v>
      </c>
      <c r="F10" s="54">
        <v>72406</v>
      </c>
      <c r="G10" s="48">
        <f>+(F10+J10*12*10)/A10</f>
        <v>0.21551500000000001</v>
      </c>
      <c r="H10" s="14">
        <v>3937</v>
      </c>
      <c r="I10" s="14">
        <f>+H10*100/33</f>
        <v>11930.30303030303</v>
      </c>
      <c r="J10" s="73">
        <v>115</v>
      </c>
      <c r="K10" s="35">
        <v>156762</v>
      </c>
      <c r="L10" s="48">
        <f>+(K10+J10*12*20)/A10</f>
        <v>0.46090500000000001</v>
      </c>
      <c r="M10" s="78">
        <v>2320</v>
      </c>
      <c r="N10" s="49">
        <f t="shared" si="1"/>
        <v>7030.30303030303</v>
      </c>
    </row>
  </sheetData>
  <mergeCells count="3">
    <mergeCell ref="B2:C2"/>
    <mergeCell ref="K2:M2"/>
    <mergeCell ref="F2:H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N60"/>
  <sheetViews>
    <sheetView workbookViewId="0">
      <selection activeCell="E12" sqref="E12"/>
    </sheetView>
  </sheetViews>
  <sheetFormatPr baseColWidth="10" defaultRowHeight="14.4" x14ac:dyDescent="0.3"/>
  <cols>
    <col min="1" max="1" width="68.88671875" customWidth="1"/>
    <col min="2" max="2" width="13.21875" customWidth="1"/>
  </cols>
  <sheetData>
    <row r="4" spans="1:14" ht="17.399999999999999" x14ac:dyDescent="0.3">
      <c r="A4" s="18" t="s">
        <v>38</v>
      </c>
      <c r="B4" s="18"/>
    </row>
    <row r="6" spans="1:14" x14ac:dyDescent="0.3">
      <c r="A6" s="22" t="s">
        <v>60</v>
      </c>
      <c r="B6" s="19" t="s">
        <v>59</v>
      </c>
      <c r="C6" t="s">
        <v>47</v>
      </c>
      <c r="D6" t="s">
        <v>48</v>
      </c>
      <c r="E6" t="s">
        <v>49</v>
      </c>
      <c r="F6" t="s">
        <v>50</v>
      </c>
      <c r="G6" t="s">
        <v>51</v>
      </c>
      <c r="H6" t="s">
        <v>52</v>
      </c>
      <c r="I6" t="s">
        <v>53</v>
      </c>
      <c r="J6" t="s">
        <v>54</v>
      </c>
      <c r="K6" t="s">
        <v>55</v>
      </c>
      <c r="L6" t="s">
        <v>56</v>
      </c>
      <c r="M6" t="s">
        <v>57</v>
      </c>
      <c r="N6" t="s">
        <v>58</v>
      </c>
    </row>
    <row r="7" spans="1:14" x14ac:dyDescent="0.3">
      <c r="A7" s="19" t="s">
        <v>45</v>
      </c>
      <c r="B7" s="23">
        <f>SUM(C7:N7)</f>
        <v>12000</v>
      </c>
      <c r="C7" s="3">
        <v>1000</v>
      </c>
      <c r="D7" s="3">
        <v>1000</v>
      </c>
      <c r="E7" s="3">
        <v>1000</v>
      </c>
      <c r="F7" s="3">
        <v>1000</v>
      </c>
      <c r="G7" s="3">
        <v>1000</v>
      </c>
      <c r="H7" s="3">
        <v>1000</v>
      </c>
      <c r="I7" s="3">
        <v>1000</v>
      </c>
      <c r="J7" s="3">
        <v>1000</v>
      </c>
      <c r="K7" s="3">
        <v>1000</v>
      </c>
      <c r="L7" s="3">
        <v>1000</v>
      </c>
      <c r="M7" s="3">
        <v>1000</v>
      </c>
      <c r="N7" s="3">
        <v>1000</v>
      </c>
    </row>
    <row r="8" spans="1:14" x14ac:dyDescent="0.3">
      <c r="A8" s="20"/>
      <c r="B8" s="24"/>
      <c r="C8" s="3"/>
      <c r="D8" s="3"/>
      <c r="E8" s="3"/>
      <c r="F8" s="3"/>
      <c r="G8" s="3"/>
      <c r="H8" s="3"/>
      <c r="I8" s="3"/>
      <c r="J8" s="3"/>
      <c r="K8" s="3"/>
      <c r="L8" s="3"/>
      <c r="M8" s="3"/>
      <c r="N8" s="3"/>
    </row>
    <row r="9" spans="1:14" x14ac:dyDescent="0.3">
      <c r="A9" s="21" t="s">
        <v>39</v>
      </c>
      <c r="B9" s="25"/>
      <c r="C9" s="3"/>
      <c r="D9" s="3"/>
      <c r="E9" s="3"/>
      <c r="F9" s="3"/>
      <c r="G9" s="3"/>
      <c r="H9" s="3"/>
      <c r="I9" s="3"/>
      <c r="J9" s="3"/>
      <c r="K9" s="3"/>
      <c r="L9" s="3"/>
      <c r="M9" s="3"/>
      <c r="N9" s="3"/>
    </row>
    <row r="10" spans="1:14" x14ac:dyDescent="0.3">
      <c r="A10" s="21" t="s">
        <v>40</v>
      </c>
      <c r="B10" s="25"/>
      <c r="C10" s="3"/>
      <c r="D10" s="3"/>
      <c r="E10" s="3"/>
      <c r="F10" s="3"/>
      <c r="G10" s="3"/>
      <c r="H10" s="3"/>
      <c r="I10" s="3"/>
      <c r="J10" s="3"/>
      <c r="K10" s="3"/>
      <c r="L10" s="3"/>
      <c r="M10" s="3"/>
      <c r="N10" s="3"/>
    </row>
    <row r="11" spans="1:14" x14ac:dyDescent="0.3">
      <c r="A11" s="21" t="s">
        <v>41</v>
      </c>
      <c r="B11" s="25"/>
      <c r="C11" s="3"/>
      <c r="D11" s="3"/>
      <c r="E11" s="3"/>
      <c r="F11" s="3"/>
      <c r="G11" s="3"/>
      <c r="H11" s="3"/>
      <c r="I11" s="3"/>
      <c r="J11" s="3"/>
      <c r="K11" s="3"/>
      <c r="L11" s="3"/>
      <c r="M11" s="3"/>
      <c r="N11" s="3"/>
    </row>
    <row r="12" spans="1:14" x14ac:dyDescent="0.3">
      <c r="A12" s="21" t="s">
        <v>46</v>
      </c>
      <c r="B12" s="25"/>
      <c r="C12" s="3"/>
      <c r="D12" s="3"/>
      <c r="E12" s="3"/>
      <c r="F12" s="3"/>
      <c r="G12" s="3"/>
      <c r="H12" s="3"/>
      <c r="I12" s="3"/>
      <c r="J12" s="3"/>
      <c r="K12" s="3"/>
      <c r="L12" s="3"/>
      <c r="M12" s="3"/>
      <c r="N12" s="3"/>
    </row>
    <row r="13" spans="1:14" x14ac:dyDescent="0.3">
      <c r="A13" s="21" t="s">
        <v>42</v>
      </c>
      <c r="B13" s="25"/>
      <c r="C13" s="3"/>
      <c r="D13" s="3"/>
      <c r="E13" s="3"/>
      <c r="F13" s="3"/>
      <c r="G13" s="3"/>
      <c r="H13" s="3"/>
      <c r="I13" s="3"/>
      <c r="J13" s="3"/>
      <c r="K13" s="3"/>
      <c r="L13" s="3"/>
      <c r="M13" s="3"/>
      <c r="N13" s="3"/>
    </row>
    <row r="14" spans="1:14" x14ac:dyDescent="0.3">
      <c r="A14" s="21" t="s">
        <v>43</v>
      </c>
      <c r="B14" s="25"/>
      <c r="C14" s="3"/>
      <c r="D14" s="3"/>
      <c r="E14" s="3"/>
      <c r="F14" s="3"/>
      <c r="G14" s="3"/>
      <c r="H14" s="3"/>
      <c r="I14" s="3"/>
      <c r="J14" s="3"/>
      <c r="K14" s="3"/>
      <c r="L14" s="3"/>
      <c r="M14" s="3"/>
      <c r="N14" s="3"/>
    </row>
    <row r="15" spans="1:14" x14ac:dyDescent="0.3">
      <c r="A15" s="21" t="s">
        <v>44</v>
      </c>
      <c r="B15" s="25"/>
      <c r="C15" s="3"/>
      <c r="D15" s="3"/>
      <c r="E15" s="3"/>
      <c r="F15" s="3"/>
      <c r="G15" s="3"/>
      <c r="H15" s="3"/>
      <c r="I15" s="3"/>
      <c r="J15" s="3"/>
      <c r="K15" s="3"/>
      <c r="L15" s="3"/>
      <c r="M15" s="3"/>
      <c r="N15" s="3"/>
    </row>
    <row r="16" spans="1:14" x14ac:dyDescent="0.3">
      <c r="B16" s="3"/>
      <c r="C16" s="3"/>
      <c r="D16" s="3"/>
      <c r="E16" s="3"/>
      <c r="F16" s="3"/>
      <c r="G16" s="3"/>
      <c r="H16" s="3"/>
      <c r="I16" s="3"/>
      <c r="J16" s="3"/>
      <c r="K16" s="3"/>
      <c r="L16" s="3"/>
      <c r="M16" s="3"/>
      <c r="N16" s="3"/>
    </row>
    <row r="17" spans="2:14" x14ac:dyDescent="0.3">
      <c r="B17" s="3"/>
      <c r="C17" s="3"/>
      <c r="D17" s="3"/>
      <c r="E17" s="3"/>
      <c r="F17" s="3"/>
      <c r="G17" s="3"/>
      <c r="H17" s="3"/>
      <c r="I17" s="3"/>
      <c r="J17" s="3"/>
      <c r="K17" s="3"/>
      <c r="L17" s="3"/>
      <c r="M17" s="3"/>
      <c r="N17" s="3"/>
    </row>
    <row r="18" spans="2:14" x14ac:dyDescent="0.3">
      <c r="B18" s="3"/>
      <c r="C18" s="3"/>
      <c r="D18" s="3"/>
      <c r="E18" s="3"/>
      <c r="F18" s="3"/>
      <c r="G18" s="3"/>
      <c r="H18" s="3"/>
      <c r="I18" s="3"/>
      <c r="J18" s="3"/>
      <c r="K18" s="3"/>
      <c r="L18" s="3"/>
      <c r="M18" s="3"/>
      <c r="N18" s="3"/>
    </row>
    <row r="19" spans="2:14" x14ac:dyDescent="0.3">
      <c r="B19" s="3"/>
      <c r="C19" s="3"/>
      <c r="D19" s="3"/>
      <c r="E19" s="3"/>
      <c r="F19" s="3"/>
      <c r="G19" s="3"/>
      <c r="H19" s="3"/>
      <c r="I19" s="3"/>
      <c r="J19" s="3"/>
      <c r="K19" s="3"/>
      <c r="L19" s="3"/>
      <c r="M19" s="3"/>
      <c r="N19" s="3"/>
    </row>
    <row r="20" spans="2:14" x14ac:dyDescent="0.3">
      <c r="B20" s="3"/>
      <c r="C20" s="3"/>
      <c r="D20" s="3"/>
      <c r="E20" s="3"/>
      <c r="F20" s="3"/>
      <c r="G20" s="3"/>
      <c r="H20" s="3"/>
      <c r="I20" s="3"/>
      <c r="J20" s="3"/>
      <c r="K20" s="3"/>
      <c r="L20" s="3"/>
      <c r="M20" s="3"/>
      <c r="N20" s="3"/>
    </row>
    <row r="21" spans="2:14" x14ac:dyDescent="0.3">
      <c r="B21" s="3"/>
      <c r="C21" s="3"/>
      <c r="D21" s="3"/>
      <c r="E21" s="3"/>
      <c r="F21" s="3"/>
      <c r="G21" s="3"/>
      <c r="H21" s="3"/>
      <c r="I21" s="3"/>
      <c r="J21" s="3"/>
      <c r="K21" s="3"/>
      <c r="L21" s="3"/>
      <c r="M21" s="3"/>
      <c r="N21" s="3"/>
    </row>
    <row r="22" spans="2:14" x14ac:dyDescent="0.3">
      <c r="B22" s="3"/>
      <c r="C22" s="3"/>
      <c r="D22" s="3"/>
      <c r="E22" s="3"/>
      <c r="F22" s="3"/>
      <c r="G22" s="3"/>
      <c r="H22" s="3"/>
      <c r="I22" s="3"/>
      <c r="J22" s="3"/>
      <c r="K22" s="3"/>
      <c r="L22" s="3"/>
      <c r="M22" s="3"/>
      <c r="N22" s="3"/>
    </row>
    <row r="23" spans="2:14" x14ac:dyDescent="0.3">
      <c r="B23" s="3"/>
      <c r="C23" s="3"/>
      <c r="D23" s="3"/>
      <c r="E23" s="3"/>
      <c r="F23" s="3"/>
      <c r="G23" s="3"/>
      <c r="H23" s="3"/>
      <c r="I23" s="3"/>
      <c r="J23" s="3"/>
      <c r="K23" s="3"/>
      <c r="L23" s="3"/>
      <c r="M23" s="3"/>
      <c r="N23" s="3"/>
    </row>
    <row r="24" spans="2:14" x14ac:dyDescent="0.3">
      <c r="B24" s="3"/>
      <c r="C24" s="3"/>
      <c r="D24" s="3"/>
      <c r="E24" s="3"/>
      <c r="F24" s="3"/>
      <c r="G24" s="3"/>
      <c r="H24" s="3"/>
      <c r="I24" s="3"/>
      <c r="J24" s="3"/>
      <c r="K24" s="3"/>
      <c r="L24" s="3"/>
      <c r="M24" s="3"/>
      <c r="N24" s="3"/>
    </row>
    <row r="25" spans="2:14" x14ac:dyDescent="0.3">
      <c r="B25" s="3"/>
      <c r="C25" s="3"/>
      <c r="D25" s="3"/>
      <c r="E25" s="3"/>
      <c r="F25" s="3"/>
      <c r="G25" s="3"/>
      <c r="H25" s="3"/>
      <c r="I25" s="3"/>
      <c r="J25" s="3"/>
      <c r="K25" s="3"/>
      <c r="L25" s="3"/>
      <c r="M25" s="3"/>
      <c r="N25" s="3"/>
    </row>
    <row r="26" spans="2:14" x14ac:dyDescent="0.3">
      <c r="B26" s="3"/>
      <c r="C26" s="3"/>
      <c r="D26" s="3"/>
      <c r="E26" s="3"/>
      <c r="F26" s="3"/>
      <c r="G26" s="3"/>
      <c r="H26" s="3"/>
      <c r="I26" s="3"/>
      <c r="J26" s="3"/>
      <c r="K26" s="3"/>
      <c r="L26" s="3"/>
      <c r="M26" s="3"/>
      <c r="N26" s="3"/>
    </row>
    <row r="27" spans="2:14" x14ac:dyDescent="0.3">
      <c r="B27" s="3"/>
      <c r="C27" s="3"/>
      <c r="D27" s="3"/>
      <c r="E27" s="3"/>
      <c r="F27" s="3"/>
      <c r="G27" s="3"/>
      <c r="H27" s="3"/>
      <c r="I27" s="3"/>
      <c r="J27" s="3"/>
      <c r="K27" s="3"/>
      <c r="L27" s="3"/>
      <c r="M27" s="3"/>
      <c r="N27" s="3"/>
    </row>
    <row r="28" spans="2:14" x14ac:dyDescent="0.3">
      <c r="B28" s="3"/>
      <c r="C28" s="3"/>
      <c r="D28" s="3"/>
      <c r="E28" s="3"/>
      <c r="F28" s="3"/>
      <c r="G28" s="3"/>
      <c r="H28" s="3"/>
      <c r="I28" s="3"/>
      <c r="J28" s="3"/>
      <c r="K28" s="3"/>
      <c r="L28" s="3"/>
      <c r="M28" s="3"/>
      <c r="N28" s="3"/>
    </row>
    <row r="29" spans="2:14" x14ac:dyDescent="0.3">
      <c r="B29" s="3"/>
      <c r="C29" s="3"/>
      <c r="D29" s="3"/>
      <c r="E29" s="3"/>
      <c r="F29" s="3"/>
      <c r="G29" s="3"/>
      <c r="H29" s="3"/>
      <c r="I29" s="3"/>
      <c r="J29" s="3"/>
      <c r="K29" s="3"/>
      <c r="L29" s="3"/>
      <c r="M29" s="3"/>
      <c r="N29" s="3"/>
    </row>
    <row r="30" spans="2:14" x14ac:dyDescent="0.3">
      <c r="B30" s="3"/>
      <c r="C30" s="3"/>
      <c r="D30" s="3"/>
      <c r="E30" s="3"/>
      <c r="F30" s="3"/>
      <c r="G30" s="3"/>
      <c r="H30" s="3"/>
      <c r="I30" s="3"/>
      <c r="J30" s="3"/>
      <c r="K30" s="3"/>
      <c r="L30" s="3"/>
      <c r="M30" s="3"/>
      <c r="N30" s="3"/>
    </row>
    <row r="31" spans="2:14" x14ac:dyDescent="0.3">
      <c r="B31" s="3"/>
      <c r="C31" s="3"/>
      <c r="D31" s="3"/>
      <c r="E31" s="3"/>
      <c r="F31" s="3"/>
      <c r="G31" s="3"/>
      <c r="H31" s="3"/>
      <c r="I31" s="3"/>
      <c r="J31" s="3"/>
      <c r="K31" s="3"/>
      <c r="L31" s="3"/>
      <c r="M31" s="3"/>
      <c r="N31" s="3"/>
    </row>
    <row r="32" spans="2:14" x14ac:dyDescent="0.3">
      <c r="B32" s="3"/>
      <c r="C32" s="3"/>
      <c r="D32" s="3"/>
      <c r="E32" s="3"/>
      <c r="F32" s="3"/>
      <c r="G32" s="3"/>
      <c r="H32" s="3"/>
      <c r="I32" s="3"/>
      <c r="J32" s="3"/>
      <c r="K32" s="3"/>
      <c r="L32" s="3"/>
      <c r="M32" s="3"/>
      <c r="N32" s="3"/>
    </row>
    <row r="33" spans="2:14" x14ac:dyDescent="0.3">
      <c r="B33" s="3"/>
      <c r="C33" s="3"/>
      <c r="D33" s="3"/>
      <c r="E33" s="3"/>
      <c r="F33" s="3"/>
      <c r="G33" s="3"/>
      <c r="H33" s="3"/>
      <c r="I33" s="3"/>
      <c r="J33" s="3"/>
      <c r="K33" s="3"/>
      <c r="L33" s="3"/>
      <c r="M33" s="3"/>
      <c r="N33" s="3"/>
    </row>
    <row r="34" spans="2:14" x14ac:dyDescent="0.3">
      <c r="B34" s="3"/>
      <c r="C34" s="3"/>
      <c r="D34" s="3"/>
      <c r="E34" s="3"/>
      <c r="F34" s="3"/>
      <c r="G34" s="3"/>
      <c r="H34" s="3"/>
      <c r="I34" s="3"/>
      <c r="J34" s="3"/>
      <c r="K34" s="3"/>
      <c r="L34" s="3"/>
      <c r="M34" s="3"/>
      <c r="N34" s="3"/>
    </row>
    <row r="35" spans="2:14" x14ac:dyDescent="0.3">
      <c r="B35" s="3"/>
      <c r="C35" s="3"/>
      <c r="D35" s="3"/>
      <c r="E35" s="3"/>
      <c r="F35" s="3"/>
      <c r="G35" s="3"/>
      <c r="H35" s="3"/>
      <c r="I35" s="3"/>
      <c r="J35" s="3"/>
      <c r="K35" s="3"/>
      <c r="L35" s="3"/>
      <c r="M35" s="3"/>
      <c r="N35" s="3"/>
    </row>
    <row r="36" spans="2:14" x14ac:dyDescent="0.3">
      <c r="B36" s="3"/>
      <c r="C36" s="3"/>
      <c r="D36" s="3"/>
      <c r="E36" s="3"/>
      <c r="F36" s="3"/>
      <c r="G36" s="3"/>
      <c r="H36" s="3"/>
      <c r="I36" s="3"/>
      <c r="J36" s="3"/>
      <c r="K36" s="3"/>
      <c r="L36" s="3"/>
      <c r="M36" s="3"/>
      <c r="N36" s="3"/>
    </row>
    <row r="37" spans="2:14" x14ac:dyDescent="0.3">
      <c r="B37" s="3"/>
      <c r="C37" s="3"/>
      <c r="D37" s="3"/>
      <c r="E37" s="3"/>
      <c r="F37" s="3"/>
      <c r="G37" s="3"/>
      <c r="H37" s="3"/>
      <c r="I37" s="3"/>
      <c r="J37" s="3"/>
      <c r="K37" s="3"/>
      <c r="L37" s="3"/>
      <c r="M37" s="3"/>
      <c r="N37" s="3"/>
    </row>
    <row r="38" spans="2:14" x14ac:dyDescent="0.3">
      <c r="B38" s="3"/>
      <c r="C38" s="3"/>
      <c r="D38" s="3"/>
      <c r="E38" s="3"/>
      <c r="F38" s="3"/>
      <c r="G38" s="3"/>
      <c r="H38" s="3"/>
      <c r="I38" s="3"/>
      <c r="J38" s="3"/>
      <c r="K38" s="3"/>
      <c r="L38" s="3"/>
      <c r="M38" s="3"/>
      <c r="N38" s="3"/>
    </row>
    <row r="39" spans="2:14" x14ac:dyDescent="0.3">
      <c r="B39" s="3"/>
      <c r="C39" s="3"/>
      <c r="D39" s="3"/>
      <c r="E39" s="3"/>
      <c r="F39" s="3"/>
      <c r="G39" s="3"/>
      <c r="H39" s="3"/>
      <c r="I39" s="3"/>
      <c r="J39" s="3"/>
      <c r="K39" s="3"/>
      <c r="L39" s="3"/>
      <c r="M39" s="3"/>
      <c r="N39" s="3"/>
    </row>
    <row r="40" spans="2:14" x14ac:dyDescent="0.3">
      <c r="B40" s="3"/>
      <c r="C40" s="3"/>
      <c r="D40" s="3"/>
      <c r="E40" s="3"/>
      <c r="F40" s="3"/>
      <c r="G40" s="3"/>
      <c r="H40" s="3"/>
      <c r="I40" s="3"/>
      <c r="J40" s="3"/>
      <c r="K40" s="3"/>
      <c r="L40" s="3"/>
      <c r="M40" s="3"/>
      <c r="N40" s="3"/>
    </row>
    <row r="41" spans="2:14" x14ac:dyDescent="0.3">
      <c r="B41" s="3"/>
      <c r="C41" s="3"/>
      <c r="D41" s="3"/>
      <c r="E41" s="3"/>
      <c r="F41" s="3"/>
      <c r="G41" s="3"/>
      <c r="H41" s="3"/>
      <c r="I41" s="3"/>
      <c r="J41" s="3"/>
      <c r="K41" s="3"/>
      <c r="L41" s="3"/>
      <c r="M41" s="3"/>
      <c r="N41" s="3"/>
    </row>
    <row r="42" spans="2:14" x14ac:dyDescent="0.3">
      <c r="B42" s="3"/>
      <c r="C42" s="3"/>
      <c r="D42" s="3"/>
      <c r="E42" s="3"/>
      <c r="F42" s="3"/>
      <c r="G42" s="3"/>
      <c r="H42" s="3"/>
      <c r="I42" s="3"/>
      <c r="J42" s="3"/>
      <c r="K42" s="3"/>
      <c r="L42" s="3"/>
      <c r="M42" s="3"/>
      <c r="N42" s="3"/>
    </row>
    <row r="43" spans="2:14" x14ac:dyDescent="0.3">
      <c r="B43" s="3"/>
      <c r="C43" s="3"/>
      <c r="D43" s="3"/>
      <c r="E43" s="3"/>
      <c r="F43" s="3"/>
      <c r="G43" s="3"/>
      <c r="H43" s="3"/>
      <c r="I43" s="3"/>
      <c r="J43" s="3"/>
      <c r="K43" s="3"/>
      <c r="L43" s="3"/>
      <c r="M43" s="3"/>
      <c r="N43" s="3"/>
    </row>
    <row r="44" spans="2:14" x14ac:dyDescent="0.3">
      <c r="B44" s="3"/>
      <c r="C44" s="3"/>
      <c r="D44" s="3"/>
      <c r="E44" s="3"/>
      <c r="F44" s="3"/>
      <c r="G44" s="3"/>
      <c r="H44" s="3"/>
      <c r="I44" s="3"/>
      <c r="J44" s="3"/>
      <c r="K44" s="3"/>
      <c r="L44" s="3"/>
      <c r="M44" s="3"/>
      <c r="N44" s="3"/>
    </row>
    <row r="45" spans="2:14" x14ac:dyDescent="0.3">
      <c r="B45" s="3"/>
      <c r="C45" s="3"/>
      <c r="D45" s="3"/>
      <c r="E45" s="3"/>
      <c r="F45" s="3"/>
      <c r="G45" s="3"/>
      <c r="H45" s="3"/>
      <c r="I45" s="3"/>
      <c r="J45" s="3"/>
      <c r="K45" s="3"/>
      <c r="L45" s="3"/>
      <c r="M45" s="3"/>
      <c r="N45" s="3"/>
    </row>
    <row r="46" spans="2:14" x14ac:dyDescent="0.3">
      <c r="B46" s="3"/>
      <c r="C46" s="3"/>
      <c r="D46" s="3"/>
      <c r="E46" s="3"/>
      <c r="F46" s="3"/>
      <c r="G46" s="3"/>
      <c r="H46" s="3"/>
      <c r="I46" s="3"/>
      <c r="J46" s="3"/>
      <c r="K46" s="3"/>
      <c r="L46" s="3"/>
      <c r="M46" s="3"/>
      <c r="N46" s="3"/>
    </row>
    <row r="47" spans="2:14" x14ac:dyDescent="0.3">
      <c r="B47" s="3"/>
      <c r="C47" s="3"/>
      <c r="D47" s="3"/>
      <c r="E47" s="3"/>
      <c r="F47" s="3"/>
      <c r="G47" s="3"/>
      <c r="H47" s="3"/>
      <c r="I47" s="3"/>
      <c r="J47" s="3"/>
      <c r="K47" s="3"/>
      <c r="L47" s="3"/>
      <c r="M47" s="3"/>
      <c r="N47" s="3"/>
    </row>
    <row r="48" spans="2:14" x14ac:dyDescent="0.3">
      <c r="B48" s="3"/>
      <c r="C48" s="3"/>
      <c r="D48" s="3"/>
      <c r="E48" s="3"/>
      <c r="F48" s="3"/>
      <c r="G48" s="3"/>
      <c r="H48" s="3"/>
      <c r="I48" s="3"/>
      <c r="J48" s="3"/>
      <c r="K48" s="3"/>
      <c r="L48" s="3"/>
      <c r="M48" s="3"/>
      <c r="N48" s="3"/>
    </row>
    <row r="49" spans="2:14" x14ac:dyDescent="0.3">
      <c r="B49" s="3"/>
      <c r="C49" s="3"/>
      <c r="D49" s="3"/>
      <c r="E49" s="3"/>
      <c r="F49" s="3"/>
      <c r="G49" s="3"/>
      <c r="H49" s="3"/>
      <c r="I49" s="3"/>
      <c r="J49" s="3"/>
      <c r="K49" s="3"/>
      <c r="L49" s="3"/>
      <c r="M49" s="3"/>
      <c r="N49" s="3"/>
    </row>
    <row r="50" spans="2:14" x14ac:dyDescent="0.3">
      <c r="B50" s="3"/>
      <c r="C50" s="3"/>
      <c r="D50" s="3"/>
      <c r="E50" s="3"/>
      <c r="F50" s="3"/>
      <c r="G50" s="3"/>
      <c r="H50" s="3"/>
      <c r="I50" s="3"/>
      <c r="J50" s="3"/>
      <c r="K50" s="3"/>
      <c r="L50" s="3"/>
      <c r="M50" s="3"/>
      <c r="N50" s="3"/>
    </row>
    <row r="51" spans="2:14" x14ac:dyDescent="0.3">
      <c r="B51" s="3"/>
      <c r="C51" s="3"/>
      <c r="D51" s="3"/>
      <c r="E51" s="3"/>
      <c r="F51" s="3"/>
      <c r="G51" s="3"/>
      <c r="H51" s="3"/>
      <c r="I51" s="3"/>
      <c r="J51" s="3"/>
      <c r="K51" s="3"/>
      <c r="L51" s="3"/>
      <c r="M51" s="3"/>
      <c r="N51" s="3"/>
    </row>
    <row r="52" spans="2:14" x14ac:dyDescent="0.3">
      <c r="B52" s="3"/>
      <c r="C52" s="3"/>
      <c r="D52" s="3"/>
      <c r="E52" s="3"/>
      <c r="F52" s="3"/>
      <c r="G52" s="3"/>
      <c r="H52" s="3"/>
      <c r="I52" s="3"/>
      <c r="J52" s="3"/>
      <c r="K52" s="3"/>
      <c r="L52" s="3"/>
      <c r="M52" s="3"/>
      <c r="N52" s="3"/>
    </row>
    <row r="53" spans="2:14" x14ac:dyDescent="0.3">
      <c r="B53" s="3"/>
      <c r="C53" s="3"/>
      <c r="D53" s="3"/>
      <c r="E53" s="3"/>
      <c r="F53" s="3"/>
      <c r="G53" s="3"/>
      <c r="H53" s="3"/>
      <c r="I53" s="3"/>
      <c r="J53" s="3"/>
      <c r="K53" s="3"/>
      <c r="L53" s="3"/>
      <c r="M53" s="3"/>
      <c r="N53" s="3"/>
    </row>
    <row r="54" spans="2:14" x14ac:dyDescent="0.3">
      <c r="B54" s="3"/>
      <c r="C54" s="3"/>
      <c r="D54" s="3"/>
      <c r="E54" s="3"/>
      <c r="F54" s="3"/>
      <c r="G54" s="3"/>
      <c r="H54" s="3"/>
      <c r="I54" s="3"/>
      <c r="J54" s="3"/>
      <c r="K54" s="3"/>
      <c r="L54" s="3"/>
      <c r="M54" s="3"/>
      <c r="N54" s="3"/>
    </row>
    <row r="55" spans="2:14" x14ac:dyDescent="0.3">
      <c r="B55" s="3"/>
      <c r="C55" s="3"/>
      <c r="D55" s="3"/>
      <c r="E55" s="3"/>
      <c r="F55" s="3"/>
      <c r="G55" s="3"/>
      <c r="H55" s="3"/>
      <c r="I55" s="3"/>
      <c r="J55" s="3"/>
      <c r="K55" s="3"/>
      <c r="L55" s="3"/>
      <c r="M55" s="3"/>
      <c r="N55" s="3"/>
    </row>
    <row r="56" spans="2:14" x14ac:dyDescent="0.3">
      <c r="B56" s="3"/>
      <c r="C56" s="3"/>
      <c r="D56" s="3"/>
      <c r="E56" s="3"/>
      <c r="F56" s="3"/>
      <c r="G56" s="3"/>
      <c r="H56" s="3"/>
      <c r="I56" s="3"/>
      <c r="J56" s="3"/>
      <c r="K56" s="3"/>
      <c r="L56" s="3"/>
      <c r="M56" s="3"/>
      <c r="N56" s="3"/>
    </row>
    <row r="57" spans="2:14" x14ac:dyDescent="0.3">
      <c r="B57" s="3"/>
      <c r="C57" s="3"/>
      <c r="D57" s="3"/>
      <c r="E57" s="3"/>
      <c r="F57" s="3"/>
      <c r="G57" s="3"/>
      <c r="H57" s="3"/>
      <c r="I57" s="3"/>
      <c r="J57" s="3"/>
      <c r="K57" s="3"/>
      <c r="L57" s="3"/>
      <c r="M57" s="3"/>
      <c r="N57" s="3"/>
    </row>
    <row r="58" spans="2:14" x14ac:dyDescent="0.3">
      <c r="B58" s="3"/>
      <c r="C58" s="3"/>
      <c r="D58" s="3"/>
      <c r="E58" s="3"/>
      <c r="F58" s="3"/>
      <c r="G58" s="3"/>
      <c r="H58" s="3"/>
      <c r="I58" s="3"/>
      <c r="J58" s="3"/>
      <c r="K58" s="3"/>
      <c r="L58" s="3"/>
      <c r="M58" s="3"/>
      <c r="N58" s="3"/>
    </row>
    <row r="59" spans="2:14" x14ac:dyDescent="0.3">
      <c r="B59" s="3"/>
      <c r="C59" s="3"/>
      <c r="D59" s="3"/>
      <c r="E59" s="3"/>
      <c r="F59" s="3"/>
      <c r="G59" s="3"/>
      <c r="H59" s="3"/>
      <c r="I59" s="3"/>
      <c r="J59" s="3"/>
      <c r="K59" s="3"/>
      <c r="L59" s="3"/>
      <c r="M59" s="3"/>
      <c r="N59" s="3"/>
    </row>
    <row r="60" spans="2:14" x14ac:dyDescent="0.3">
      <c r="B60" s="3"/>
      <c r="C60" s="3"/>
      <c r="D60" s="3"/>
      <c r="E60" s="3"/>
      <c r="F60" s="3"/>
      <c r="G60" s="3"/>
      <c r="H60" s="3"/>
      <c r="I60" s="3"/>
      <c r="J60" s="3"/>
      <c r="K60" s="3"/>
      <c r="L60" s="3"/>
      <c r="M60" s="3"/>
      <c r="N60" s="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45"/>
  <sheetViews>
    <sheetView topLeftCell="A7" workbookViewId="0">
      <selection activeCell="K26" sqref="K26"/>
    </sheetView>
  </sheetViews>
  <sheetFormatPr baseColWidth="10" defaultRowHeight="14.4" x14ac:dyDescent="0.3"/>
  <cols>
    <col min="1" max="1" width="34.77734375" bestFit="1" customWidth="1"/>
    <col min="2" max="2" width="11.21875" bestFit="1" customWidth="1"/>
    <col min="7" max="7" width="4.109375" customWidth="1"/>
    <col min="9" max="9" width="4.88671875" customWidth="1"/>
  </cols>
  <sheetData>
    <row r="3" spans="1:12" ht="28.8" x14ac:dyDescent="0.3">
      <c r="B3" t="s">
        <v>18</v>
      </c>
      <c r="D3" t="s">
        <v>19</v>
      </c>
      <c r="E3" s="1" t="s">
        <v>10</v>
      </c>
      <c r="F3" s="1" t="s">
        <v>11</v>
      </c>
      <c r="G3" s="5" t="s">
        <v>6</v>
      </c>
      <c r="H3" s="6" t="s">
        <v>2</v>
      </c>
      <c r="I3" s="7" t="s">
        <v>6</v>
      </c>
      <c r="J3" s="7" t="s">
        <v>3</v>
      </c>
      <c r="K3" s="4" t="s">
        <v>24</v>
      </c>
      <c r="L3" s="4" t="s">
        <v>24</v>
      </c>
    </row>
    <row r="4" spans="1:12" x14ac:dyDescent="0.3">
      <c r="A4" s="9" t="s">
        <v>0</v>
      </c>
      <c r="B4" s="9"/>
      <c r="D4" s="11">
        <v>3341</v>
      </c>
      <c r="E4" s="10"/>
      <c r="F4" s="10"/>
      <c r="G4" s="9">
        <v>75</v>
      </c>
      <c r="H4" s="10">
        <f>+D4*G4/100</f>
        <v>2505.75</v>
      </c>
      <c r="I4" s="9">
        <v>57</v>
      </c>
      <c r="J4" s="10">
        <f>+D4*I4/100</f>
        <v>1904.37</v>
      </c>
      <c r="K4" s="11"/>
      <c r="L4" s="11"/>
    </row>
    <row r="5" spans="1:12" x14ac:dyDescent="0.3">
      <c r="A5" s="9" t="s">
        <v>1</v>
      </c>
      <c r="B5" s="9"/>
      <c r="C5" s="9"/>
      <c r="D5" s="9">
        <v>2351.63</v>
      </c>
      <c r="E5" s="10"/>
      <c r="F5" s="10"/>
      <c r="G5" s="9"/>
      <c r="H5" s="10">
        <f>+D5*G4/100</f>
        <v>1763.7225000000001</v>
      </c>
      <c r="I5" s="9"/>
      <c r="J5" s="10">
        <f>+D5*I4/100</f>
        <v>1340.4291000000001</v>
      </c>
      <c r="K5" s="11"/>
      <c r="L5" s="11"/>
    </row>
    <row r="6" spans="1:12" x14ac:dyDescent="0.3">
      <c r="A6" s="9"/>
      <c r="B6" s="9"/>
      <c r="C6" s="9"/>
      <c r="D6" s="9"/>
      <c r="E6" s="10"/>
      <c r="F6" s="10"/>
      <c r="G6" s="9"/>
      <c r="H6" s="10"/>
      <c r="I6" s="9"/>
      <c r="J6" s="11"/>
      <c r="K6" s="11"/>
      <c r="L6" s="11"/>
    </row>
    <row r="7" spans="1:12" x14ac:dyDescent="0.3">
      <c r="A7" s="9"/>
      <c r="B7" s="9"/>
      <c r="C7" s="9"/>
      <c r="D7" s="9"/>
      <c r="E7" s="10"/>
      <c r="F7" s="10"/>
      <c r="G7" s="9"/>
      <c r="H7" s="10"/>
      <c r="I7" s="9"/>
      <c r="J7" s="11"/>
      <c r="K7" s="11"/>
      <c r="L7" s="11"/>
    </row>
    <row r="8" spans="1:12" x14ac:dyDescent="0.3">
      <c r="A8" s="9"/>
      <c r="B8" s="9"/>
      <c r="C8" s="9"/>
      <c r="D8" s="9"/>
      <c r="E8" s="10"/>
      <c r="F8" s="10"/>
      <c r="G8" s="9"/>
      <c r="H8" s="10"/>
      <c r="I8" s="9"/>
      <c r="J8" s="11"/>
      <c r="K8" s="11"/>
      <c r="L8" s="11"/>
    </row>
    <row r="9" spans="1:12" x14ac:dyDescent="0.3">
      <c r="A9" s="9" t="s">
        <v>4</v>
      </c>
      <c r="B9" s="9"/>
      <c r="C9" s="9"/>
      <c r="D9" s="11">
        <f>+E9/2</f>
        <v>500</v>
      </c>
      <c r="E9" s="10">
        <v>1000</v>
      </c>
      <c r="G9" s="9"/>
      <c r="H9" s="10">
        <v>500</v>
      </c>
      <c r="I9" s="9"/>
      <c r="J9" s="11">
        <f>+H9</f>
        <v>500</v>
      </c>
      <c r="K9" s="11"/>
      <c r="L9" s="11"/>
    </row>
    <row r="10" spans="1:12" x14ac:dyDescent="0.3">
      <c r="A10" s="9" t="s">
        <v>5</v>
      </c>
      <c r="B10" s="9"/>
      <c r="C10" s="9"/>
      <c r="D10" s="11">
        <f>+E10/2</f>
        <v>300</v>
      </c>
      <c r="E10" s="10">
        <v>600</v>
      </c>
      <c r="G10" s="9"/>
      <c r="H10" s="10">
        <v>300</v>
      </c>
      <c r="I10" s="9"/>
      <c r="J10" s="11">
        <f>+H10</f>
        <v>300</v>
      </c>
      <c r="K10" s="11"/>
      <c r="L10" s="11"/>
    </row>
    <row r="11" spans="1:12" x14ac:dyDescent="0.3">
      <c r="A11" s="9" t="s">
        <v>36</v>
      </c>
      <c r="B11" s="9"/>
      <c r="C11" s="9"/>
      <c r="D11" s="11">
        <v>1000</v>
      </c>
      <c r="E11" s="10"/>
      <c r="G11" s="9"/>
      <c r="H11" s="10"/>
      <c r="I11" s="9"/>
      <c r="J11" s="11"/>
      <c r="K11" s="11"/>
      <c r="L11" s="11"/>
    </row>
    <row r="12" spans="1:12" x14ac:dyDescent="0.3">
      <c r="A12" s="12"/>
      <c r="B12" s="12"/>
      <c r="C12" s="12"/>
      <c r="D12" s="14"/>
      <c r="E12" s="13"/>
      <c r="F12" s="13"/>
      <c r="G12" s="12"/>
      <c r="H12" s="13"/>
      <c r="I12" s="12"/>
      <c r="J12" s="14"/>
      <c r="K12" s="14"/>
      <c r="L12" s="14"/>
    </row>
    <row r="13" spans="1:12" x14ac:dyDescent="0.3">
      <c r="A13" t="s">
        <v>14</v>
      </c>
      <c r="D13" s="3">
        <f>SUM(D5:D12)</f>
        <v>4151.63</v>
      </c>
      <c r="E13" s="2"/>
      <c r="F13" s="2"/>
      <c r="H13" s="2">
        <f>+H5+H9+H10</f>
        <v>2563.7224999999999</v>
      </c>
      <c r="J13" s="3">
        <f>SUM(J5:J12)</f>
        <v>2140.4291000000003</v>
      </c>
      <c r="K13" s="3"/>
      <c r="L13" s="3"/>
    </row>
    <row r="14" spans="1:12" x14ac:dyDescent="0.3">
      <c r="D14" s="3"/>
      <c r="E14" s="2"/>
      <c r="F14" s="2"/>
      <c r="H14" s="2"/>
      <c r="J14" s="3"/>
      <c r="K14" s="3"/>
      <c r="L14" s="3"/>
    </row>
    <row r="15" spans="1:12" x14ac:dyDescent="0.3">
      <c r="A15" t="s">
        <v>37</v>
      </c>
      <c r="D15" s="8">
        <v>0.8</v>
      </c>
      <c r="E15" s="2"/>
      <c r="H15" s="8">
        <v>0.33</v>
      </c>
      <c r="J15" s="8">
        <v>0.33</v>
      </c>
      <c r="K15" s="3"/>
      <c r="L15" s="3"/>
    </row>
    <row r="16" spans="1:12" x14ac:dyDescent="0.3">
      <c r="D16" s="2">
        <f>+D13*D15</f>
        <v>3321.3040000000001</v>
      </c>
      <c r="E16" s="2"/>
      <c r="F16" s="2"/>
      <c r="H16" s="2">
        <f>+H13*H15</f>
        <v>846.02842499999997</v>
      </c>
      <c r="J16" s="2">
        <f>+J13*J15</f>
        <v>706.34160300000008</v>
      </c>
      <c r="K16" s="3"/>
      <c r="L16" s="3"/>
    </row>
    <row r="17" spans="1:12" x14ac:dyDescent="0.3">
      <c r="D17" s="2"/>
      <c r="E17" s="2"/>
      <c r="F17" s="2"/>
      <c r="H17" s="2"/>
      <c r="J17" s="3"/>
      <c r="K17" s="3"/>
      <c r="L17" s="3"/>
    </row>
    <row r="18" spans="1:12" x14ac:dyDescent="0.3">
      <c r="A18" t="s">
        <v>23</v>
      </c>
      <c r="E18" s="2"/>
      <c r="F18" s="2"/>
      <c r="H18" s="2"/>
      <c r="J18" s="3"/>
      <c r="K18" s="3">
        <f>3*2351</f>
        <v>7053</v>
      </c>
      <c r="L18" s="3"/>
    </row>
    <row r="19" spans="1:12" x14ac:dyDescent="0.3">
      <c r="A19" t="s">
        <v>7</v>
      </c>
      <c r="E19" s="2"/>
      <c r="F19" s="2"/>
      <c r="H19" s="2"/>
      <c r="J19" s="3"/>
      <c r="K19" s="3">
        <v>8300</v>
      </c>
      <c r="L19" s="3">
        <v>8300</v>
      </c>
    </row>
    <row r="20" spans="1:12" x14ac:dyDescent="0.3">
      <c r="A20" t="s">
        <v>8</v>
      </c>
      <c r="E20" s="2"/>
      <c r="F20" s="2"/>
      <c r="H20" s="2"/>
      <c r="J20" s="3"/>
      <c r="K20" s="3">
        <f>95*109</f>
        <v>10355</v>
      </c>
      <c r="L20" s="3">
        <f>95*109</f>
        <v>10355</v>
      </c>
    </row>
    <row r="21" spans="1:12" x14ac:dyDescent="0.3">
      <c r="A21" t="s">
        <v>9</v>
      </c>
      <c r="E21" s="2"/>
      <c r="F21" s="2"/>
      <c r="H21" s="2"/>
      <c r="J21" s="3"/>
      <c r="K21" s="3">
        <v>10000</v>
      </c>
      <c r="L21" s="3">
        <v>10000</v>
      </c>
    </row>
    <row r="22" spans="1:12" x14ac:dyDescent="0.3">
      <c r="J22" s="3"/>
      <c r="K22" s="3"/>
      <c r="L22" s="3"/>
    </row>
    <row r="23" spans="1:12" x14ac:dyDescent="0.3">
      <c r="A23" t="s">
        <v>14</v>
      </c>
      <c r="J23" s="3"/>
      <c r="K23" s="3">
        <f>SUM(K18:K22)</f>
        <v>35708</v>
      </c>
      <c r="L23" s="3">
        <f>SUM(L18:L22)</f>
        <v>28655</v>
      </c>
    </row>
    <row r="24" spans="1:12" x14ac:dyDescent="0.3">
      <c r="J24" s="3"/>
      <c r="K24" s="3"/>
    </row>
    <row r="25" spans="1:12" x14ac:dyDescent="0.3">
      <c r="A25" t="s">
        <v>32</v>
      </c>
      <c r="E25" s="2"/>
      <c r="F25" s="2"/>
      <c r="H25" s="2"/>
      <c r="J25" s="3"/>
      <c r="K25" s="2">
        <f>28167-4534*30/100-28167*1.66%</f>
        <v>26339.227800000001</v>
      </c>
      <c r="L25" s="2">
        <f>28167-4534*30/100-28167*1.66%</f>
        <v>26339.227800000001</v>
      </c>
    </row>
    <row r="26" spans="1:12" x14ac:dyDescent="0.3">
      <c r="A26" t="s">
        <v>32</v>
      </c>
      <c r="E26" s="2"/>
      <c r="F26" s="2"/>
      <c r="H26" s="2"/>
      <c r="J26" s="3"/>
      <c r="K26" s="2">
        <f>27152-4534*30/100-27152*1.66%</f>
        <v>25341.076799999999</v>
      </c>
      <c r="L26" s="2">
        <f>27152-4534*30/100-27152*1.66%</f>
        <v>25341.076799999999</v>
      </c>
    </row>
    <row r="27" spans="1:12" x14ac:dyDescent="0.3">
      <c r="A27" s="27" t="s">
        <v>95</v>
      </c>
      <c r="J27" s="3"/>
      <c r="K27" s="2">
        <f>3502.67</f>
        <v>3502.67</v>
      </c>
      <c r="L27" s="2">
        <f>3502.67</f>
        <v>3502.67</v>
      </c>
    </row>
    <row r="28" spans="1:12" x14ac:dyDescent="0.3">
      <c r="A28" t="s">
        <v>14</v>
      </c>
      <c r="J28" s="3"/>
      <c r="K28" s="3">
        <f>SUM(K25:K27)</f>
        <v>55182.974600000001</v>
      </c>
      <c r="L28" s="3">
        <f>SUM(L25:L27)</f>
        <v>55182.974600000001</v>
      </c>
    </row>
    <row r="29" spans="1:12" x14ac:dyDescent="0.3">
      <c r="J29" s="3"/>
      <c r="K29" s="3"/>
    </row>
    <row r="30" spans="1:12" x14ac:dyDescent="0.3">
      <c r="J30" s="3"/>
      <c r="K30" s="3"/>
    </row>
    <row r="32" spans="1:12" x14ac:dyDescent="0.3">
      <c r="A32" t="s">
        <v>16</v>
      </c>
      <c r="B32" s="2">
        <v>129493.59</v>
      </c>
    </row>
    <row r="33" spans="1:4" x14ac:dyDescent="0.3">
      <c r="A33" t="s">
        <v>15</v>
      </c>
      <c r="B33" s="2">
        <v>1251.51</v>
      </c>
    </row>
    <row r="34" spans="1:4" x14ac:dyDescent="0.3">
      <c r="A34" t="s">
        <v>17</v>
      </c>
      <c r="B34" s="15">
        <v>49222</v>
      </c>
    </row>
    <row r="37" spans="1:4" x14ac:dyDescent="0.3">
      <c r="A37" t="s">
        <v>20</v>
      </c>
      <c r="B37" s="2">
        <v>76936.3</v>
      </c>
    </row>
    <row r="38" spans="1:4" x14ac:dyDescent="0.3">
      <c r="A38" t="s">
        <v>21</v>
      </c>
      <c r="B38" s="2">
        <v>58.6</v>
      </c>
      <c r="C38" s="2">
        <f>+B38+1251.51</f>
        <v>1310.1099999999999</v>
      </c>
      <c r="D38" s="2"/>
    </row>
    <row r="39" spans="1:4" x14ac:dyDescent="0.3">
      <c r="A39" t="s">
        <v>17</v>
      </c>
      <c r="B39" s="15">
        <v>49222</v>
      </c>
      <c r="C39" s="15">
        <v>51048</v>
      </c>
      <c r="D39" s="15"/>
    </row>
    <row r="41" spans="1:4" x14ac:dyDescent="0.3">
      <c r="A41" t="s">
        <v>22</v>
      </c>
      <c r="B41">
        <v>66.03</v>
      </c>
    </row>
    <row r="43" spans="1:4" x14ac:dyDescent="0.3">
      <c r="A43" t="s">
        <v>16</v>
      </c>
      <c r="B43" s="2">
        <v>17244.23</v>
      </c>
    </row>
    <row r="44" spans="1:4" x14ac:dyDescent="0.3">
      <c r="A44" t="s">
        <v>15</v>
      </c>
      <c r="B44" s="2">
        <v>864.63</v>
      </c>
    </row>
    <row r="45" spans="1:4" x14ac:dyDescent="0.3">
      <c r="A45" t="s">
        <v>17</v>
      </c>
      <c r="B45" s="15">
        <v>46599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27</vt:i4>
      </vt:variant>
    </vt:vector>
  </HeadingPairs>
  <TitlesOfParts>
    <vt:vector size="37" baseType="lpstr">
      <vt:lpstr>Recap financement</vt:lpstr>
      <vt:lpstr>Plan d'amortissement</vt:lpstr>
      <vt:lpstr>Aurélie SCHNELL</vt:lpstr>
      <vt:lpstr>Marc-Olivier MOULET</vt:lpstr>
      <vt:lpstr>Cession des titres</vt:lpstr>
      <vt:lpstr>Imposition</vt:lpstr>
      <vt:lpstr>Coût frais de succession vs emp</vt:lpstr>
      <vt:lpstr>Revenu locatif</vt:lpstr>
      <vt:lpstr>Cumul couple</vt:lpstr>
      <vt:lpstr>Flux de trésorerie</vt:lpstr>
      <vt:lpstr>Date_Début</vt:lpstr>
      <vt:lpstr>Date_Paie</vt:lpstr>
      <vt:lpstr>Début_Prêt</vt:lpstr>
      <vt:lpstr>Début_trésorerie</vt:lpstr>
      <vt:lpstr>Données</vt:lpstr>
      <vt:lpstr>Durée_Prêt</vt:lpstr>
      <vt:lpstr>Ent</vt:lpstr>
      <vt:lpstr>'Flux de trésorerie'!Impression_des_titres</vt:lpstr>
      <vt:lpstr>'Plan d''amortissement'!Impression_des_titres</vt:lpstr>
      <vt:lpstr>Impression_Entière</vt:lpstr>
      <vt:lpstr>Intérêt_Total</vt:lpstr>
      <vt:lpstr>Intérêts_Cumulés</vt:lpstr>
      <vt:lpstr>Minimum_trésorerie</vt:lpstr>
      <vt:lpstr>Montant_Prêt</vt:lpstr>
      <vt:lpstr>Nbre_Pmt</vt:lpstr>
      <vt:lpstr>Nbre_Pmt_Par_An</vt:lpstr>
      <vt:lpstr>Nom_Entreprise</vt:lpstr>
      <vt:lpstr>Pmt_Mensuel_Programmé</vt:lpstr>
      <vt:lpstr>Pmt_Programmé</vt:lpstr>
      <vt:lpstr>Pmt_Supplémentaire</vt:lpstr>
      <vt:lpstr>Pmt_Total</vt:lpstr>
      <vt:lpstr>Pmts_Supplémentaires_Programmés</vt:lpstr>
      <vt:lpstr>Princ</vt:lpstr>
      <vt:lpstr>Solde_Départ</vt:lpstr>
      <vt:lpstr>Solde_Final</vt:lpstr>
      <vt:lpstr>Taux_Intérêt</vt:lpstr>
      <vt:lpstr>Taux_Intérêt_Programmé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Aurélie SCHNELL</dc:creator>
  <cp:lastModifiedBy>Aurélie SCHNELL</cp:lastModifiedBy>
  <dcterms:created xsi:type="dcterms:W3CDTF">2025-11-24T18:55:18Z</dcterms:created>
  <dcterms:modified xsi:type="dcterms:W3CDTF">2025-11-26T21:32:37Z</dcterms:modified>
</cp:coreProperties>
</file>